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rga\Documents\IT_reunion_v2\IT_reunion\Témy\Informatizácia\Výdavky IT\Hardvér\"/>
    </mc:Choice>
  </mc:AlternateContent>
  <bookViews>
    <workbookView xWindow="0" yWindow="0" windowWidth="38400" windowHeight="14820" activeTab="2"/>
  </bookViews>
  <sheets>
    <sheet name="data" sheetId="2" r:id="rId1"/>
    <sheet name="pivot" sheetId="1" r:id="rId2"/>
    <sheet name="pivot-vysvetlivky" sheetId="4" r:id="rId3"/>
    <sheet name="celkovo" sheetId="3" r:id="rId4"/>
  </sheets>
  <externalReferences>
    <externalReference r:id="rId5"/>
  </externalReferences>
  <definedNames>
    <definedName name="_xlnm._FilterDatabase" localSheetId="3" hidden="1">celkovo!$C$52:$F$101</definedName>
    <definedName name="_xlnm._FilterDatabase" localSheetId="0" hidden="1">data!$A$2:$J$1965</definedName>
    <definedName name="_xlnm._FilterDatabase" localSheetId="1" hidden="1">pivot!$A$3:$G$81</definedName>
    <definedName name="_xlnm._FilterDatabase" localSheetId="2" hidden="1">'pivot-vysvetlivky'!#REF!</definedName>
    <definedName name="DateList" localSheetId="2">data!#REF!</definedName>
    <definedName name="DateList">data!#REF!</definedName>
    <definedName name="HWDescList">data!$G:$G</definedName>
    <definedName name="HWGroupsList" localSheetId="3">[1]DB!$X:$X</definedName>
    <definedName name="HWGroupsList">data!$F:$F</definedName>
    <definedName name="StatList">data!$K:$M</definedName>
    <definedName name="UnitPrice">data!$H:$H</definedName>
  </definedNames>
  <calcPr calcId="162913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2" i="1" l="1"/>
  <c r="C82" i="1"/>
  <c r="B82" i="1"/>
  <c r="F102" i="3" l="1"/>
  <c r="E102" i="3"/>
  <c r="D102" i="3"/>
  <c r="B50" i="3"/>
  <c r="B49" i="3"/>
  <c r="B48" i="3"/>
  <c r="B47" i="3"/>
  <c r="B46" i="3"/>
  <c r="B45" i="3"/>
  <c r="B44" i="3"/>
  <c r="B43" i="3"/>
  <c r="B42" i="3"/>
  <c r="B41" i="3" a="1"/>
  <c r="B41" i="3" s="1"/>
  <c r="B40" i="3" a="1"/>
  <c r="B40" i="3" s="1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 a="1"/>
  <c r="B5" i="3" s="1"/>
  <c r="B4" i="3" a="1"/>
  <c r="B4" i="3" s="1"/>
  <c r="B3" i="3"/>
  <c r="B2" i="3"/>
  <c r="J1460" i="2"/>
  <c r="D1460" i="2"/>
  <c r="J1459" i="2"/>
  <c r="D1459" i="2"/>
  <c r="J1458" i="2"/>
  <c r="D1458" i="2"/>
  <c r="J1457" i="2"/>
  <c r="D1457" i="2"/>
  <c r="J1456" i="2"/>
  <c r="D1456" i="2"/>
  <c r="J1455" i="2"/>
  <c r="D1455" i="2"/>
  <c r="J1454" i="2"/>
  <c r="D1454" i="2"/>
  <c r="J1453" i="2"/>
  <c r="D1453" i="2"/>
  <c r="J1452" i="2"/>
  <c r="D1452" i="2"/>
  <c r="J1451" i="2"/>
  <c r="D1451" i="2"/>
  <c r="J1450" i="2"/>
  <c r="D1450" i="2"/>
  <c r="J1449" i="2"/>
  <c r="D1449" i="2"/>
  <c r="J1448" i="2"/>
  <c r="D1448" i="2"/>
  <c r="J1447" i="2"/>
  <c r="D1447" i="2"/>
  <c r="J1446" i="2"/>
  <c r="D1446" i="2"/>
  <c r="J1445" i="2"/>
  <c r="D1445" i="2"/>
  <c r="J1444" i="2"/>
  <c r="D1444" i="2"/>
  <c r="J1443" i="2"/>
  <c r="D1443" i="2"/>
  <c r="J1442" i="2"/>
  <c r="D1442" i="2"/>
  <c r="J1441" i="2"/>
  <c r="D1441" i="2"/>
  <c r="J1440" i="2"/>
  <c r="D1440" i="2"/>
  <c r="J1439" i="2"/>
  <c r="J1438" i="2"/>
  <c r="J1437" i="2"/>
  <c r="J1436" i="2"/>
  <c r="J1435" i="2"/>
  <c r="J1434" i="2"/>
  <c r="J1433" i="2"/>
  <c r="J1432" i="2"/>
  <c r="J1431" i="2"/>
  <c r="H1430" i="2"/>
  <c r="J1430" i="2" s="1"/>
  <c r="J1429" i="2"/>
  <c r="J1428" i="2"/>
  <c r="J1427" i="2"/>
  <c r="J1426" i="2"/>
  <c r="H1425" i="2"/>
  <c r="J1425" i="2" s="1"/>
  <c r="J1424" i="2"/>
  <c r="J1423" i="2"/>
  <c r="J1422" i="2"/>
  <c r="J1421" i="2"/>
  <c r="J1420" i="2"/>
  <c r="J1419" i="2"/>
  <c r="J1418" i="2"/>
  <c r="J1417" i="2"/>
  <c r="J1416" i="2"/>
  <c r="J1415" i="2"/>
  <c r="J1414" i="2"/>
  <c r="J1413" i="2"/>
  <c r="J1412" i="2"/>
  <c r="J1411" i="2"/>
  <c r="J1410" i="2"/>
  <c r="J1409" i="2"/>
  <c r="J1408" i="2"/>
  <c r="J1407" i="2"/>
  <c r="J1406" i="2"/>
  <c r="J1405" i="2"/>
  <c r="J1404" i="2"/>
  <c r="J1403" i="2"/>
  <c r="J1402" i="2"/>
  <c r="J1401" i="2"/>
  <c r="J1400" i="2"/>
  <c r="J1399" i="2"/>
  <c r="J1398" i="2"/>
  <c r="J1397" i="2"/>
  <c r="J1396" i="2"/>
  <c r="J1395" i="2"/>
  <c r="J1394" i="2"/>
  <c r="J1393" i="2"/>
  <c r="J1392" i="2"/>
  <c r="J1391" i="2"/>
  <c r="J1390" i="2"/>
  <c r="J1389" i="2"/>
  <c r="J1388" i="2"/>
  <c r="J1387" i="2"/>
  <c r="J1386" i="2"/>
  <c r="J1385" i="2"/>
  <c r="J1384" i="2"/>
  <c r="J1383" i="2"/>
  <c r="J1382" i="2"/>
  <c r="J1381" i="2"/>
  <c r="J1380" i="2"/>
  <c r="J1379" i="2"/>
  <c r="J1378" i="2"/>
  <c r="J1377" i="2"/>
  <c r="J1376" i="2"/>
  <c r="J1375" i="2"/>
  <c r="J1374" i="2"/>
  <c r="J1373" i="2"/>
  <c r="J1372" i="2"/>
  <c r="J1371" i="2"/>
  <c r="J1370" i="2"/>
  <c r="J1369" i="2"/>
  <c r="J1368" i="2"/>
  <c r="J1367" i="2"/>
  <c r="J1366" i="2"/>
  <c r="J1365" i="2"/>
  <c r="H1364" i="2"/>
  <c r="J1364" i="2" s="1"/>
  <c r="J1363" i="2"/>
  <c r="J1362" i="2"/>
  <c r="J1361" i="2"/>
  <c r="J1360" i="2"/>
  <c r="J1359" i="2"/>
  <c r="J1358" i="2"/>
  <c r="J1357" i="2"/>
  <c r="J1356" i="2"/>
  <c r="J1355" i="2"/>
  <c r="J1354" i="2"/>
  <c r="J1353" i="2"/>
  <c r="J1352" i="2"/>
  <c r="J1351" i="2"/>
  <c r="J1350" i="2"/>
  <c r="J1349" i="2"/>
  <c r="J1348" i="2"/>
  <c r="I1347" i="2"/>
  <c r="J1347" i="2" s="1"/>
  <c r="J1346" i="2"/>
  <c r="J1345" i="2"/>
  <c r="J1344" i="2"/>
  <c r="J1343" i="2"/>
  <c r="J1342" i="2"/>
  <c r="J1341" i="2"/>
  <c r="J1340" i="2"/>
  <c r="J1339" i="2"/>
  <c r="J1338" i="2"/>
  <c r="J1337" i="2"/>
  <c r="J1336" i="2"/>
  <c r="J1335" i="2"/>
  <c r="J1334" i="2"/>
  <c r="J1333" i="2"/>
  <c r="J1332" i="2"/>
  <c r="J1331" i="2"/>
  <c r="J1330" i="2"/>
  <c r="J1329" i="2"/>
  <c r="J1328" i="2"/>
  <c r="J1327" i="2"/>
  <c r="J1326" i="2"/>
  <c r="J1325" i="2"/>
  <c r="J1324" i="2"/>
  <c r="J1323" i="2"/>
  <c r="J1322" i="2"/>
  <c r="J1321" i="2"/>
  <c r="J1320" i="2"/>
  <c r="J1319" i="2"/>
  <c r="J1318" i="2"/>
  <c r="J1317" i="2"/>
  <c r="J1316" i="2"/>
  <c r="J1315" i="2"/>
  <c r="J1314" i="2"/>
  <c r="J1313" i="2"/>
  <c r="J1312" i="2"/>
  <c r="J1311" i="2"/>
  <c r="J1310" i="2"/>
  <c r="J1309" i="2"/>
  <c r="J1308" i="2"/>
  <c r="J1307" i="2"/>
  <c r="J1306" i="2"/>
  <c r="J1305" i="2"/>
  <c r="J1304" i="2"/>
  <c r="J1303" i="2"/>
  <c r="J1302" i="2"/>
  <c r="J1301" i="2"/>
  <c r="J1300" i="2"/>
  <c r="J1299" i="2"/>
  <c r="J1298" i="2"/>
  <c r="J1297" i="2"/>
  <c r="J1296" i="2"/>
  <c r="J1295" i="2"/>
  <c r="J1294" i="2"/>
  <c r="J1293" i="2"/>
  <c r="J1292" i="2"/>
  <c r="J1291" i="2"/>
  <c r="J1290" i="2"/>
  <c r="I1289" i="2"/>
  <c r="H1289" i="2"/>
  <c r="H1288" i="2"/>
  <c r="J1288" i="2" s="1"/>
  <c r="J1287" i="2"/>
  <c r="J1286" i="2"/>
  <c r="J1285" i="2"/>
  <c r="J1284" i="2"/>
  <c r="J1283" i="2"/>
  <c r="J1282" i="2"/>
  <c r="J1281" i="2"/>
  <c r="J1280" i="2"/>
  <c r="J1279" i="2"/>
  <c r="J1278" i="2"/>
  <c r="J1277" i="2"/>
  <c r="J1276" i="2"/>
  <c r="J1275" i="2"/>
  <c r="J1274" i="2"/>
  <c r="J1273" i="2"/>
  <c r="J1272" i="2"/>
  <c r="J1271" i="2"/>
  <c r="J1270" i="2"/>
  <c r="J1269" i="2"/>
  <c r="J1268" i="2"/>
  <c r="J1267" i="2"/>
  <c r="J1266" i="2"/>
  <c r="J1265" i="2"/>
  <c r="J1264" i="2"/>
  <c r="J1263" i="2"/>
  <c r="J1262" i="2"/>
  <c r="J1261" i="2"/>
  <c r="J1260" i="2"/>
  <c r="J1259" i="2"/>
  <c r="J1258" i="2"/>
  <c r="J1257" i="2"/>
  <c r="J1256" i="2"/>
  <c r="J1255" i="2"/>
  <c r="J1254" i="2"/>
  <c r="J1253" i="2"/>
  <c r="J1252" i="2"/>
  <c r="J1251" i="2"/>
  <c r="J1250" i="2"/>
  <c r="J1249" i="2"/>
  <c r="J1248" i="2"/>
  <c r="J1247" i="2"/>
  <c r="J1246" i="2"/>
  <c r="J1245" i="2"/>
  <c r="J1244" i="2"/>
  <c r="J1243" i="2"/>
  <c r="J1242" i="2"/>
  <c r="J1241" i="2"/>
  <c r="J1240" i="2"/>
  <c r="J1239" i="2"/>
  <c r="J1238" i="2"/>
  <c r="J1237" i="2"/>
  <c r="J1236" i="2"/>
  <c r="J1235" i="2"/>
  <c r="J1234" i="2"/>
  <c r="J1233" i="2"/>
  <c r="J1232" i="2"/>
  <c r="J1231" i="2"/>
  <c r="J1230" i="2"/>
  <c r="J1229" i="2"/>
  <c r="J1228" i="2"/>
  <c r="J1227" i="2"/>
  <c r="J1226" i="2"/>
  <c r="J1225" i="2"/>
  <c r="J1224" i="2"/>
  <c r="J1223" i="2"/>
  <c r="J1222" i="2"/>
  <c r="J1221" i="2"/>
  <c r="J1220" i="2"/>
  <c r="H1219" i="2"/>
  <c r="J1219" i="2" s="1"/>
  <c r="J1218" i="2"/>
  <c r="J1217" i="2"/>
  <c r="J1216" i="2"/>
  <c r="J1215" i="2"/>
  <c r="H1214" i="2"/>
  <c r="J1214" i="2" s="1"/>
  <c r="H1213" i="2"/>
  <c r="J1213" i="2" s="1"/>
  <c r="J1212" i="2"/>
  <c r="J1211" i="2"/>
  <c r="J1210" i="2"/>
  <c r="J1209" i="2"/>
  <c r="J1208" i="2"/>
  <c r="J1207" i="2"/>
  <c r="J1206" i="2"/>
  <c r="J1205" i="2"/>
  <c r="J1204" i="2"/>
  <c r="J1203" i="2"/>
  <c r="J1202" i="2"/>
  <c r="J1201" i="2"/>
  <c r="J1200" i="2"/>
  <c r="J1199" i="2"/>
  <c r="J1198" i="2"/>
  <c r="J1197" i="2"/>
  <c r="J1196" i="2"/>
  <c r="J1195" i="2"/>
  <c r="J1194" i="2"/>
  <c r="J1193" i="2"/>
  <c r="J1192" i="2"/>
  <c r="J1191" i="2"/>
  <c r="H1190" i="2"/>
  <c r="J1190" i="2" s="1"/>
  <c r="H1189" i="2"/>
  <c r="J1189" i="2" s="1"/>
  <c r="J1188" i="2"/>
  <c r="H1187" i="2"/>
  <c r="J1187" i="2" s="1"/>
  <c r="J1186" i="2"/>
  <c r="J1185" i="2"/>
  <c r="J1184" i="2"/>
  <c r="J1183" i="2"/>
  <c r="J1182" i="2"/>
  <c r="J1181" i="2"/>
  <c r="J1180" i="2"/>
  <c r="J1179" i="2"/>
  <c r="J1178" i="2"/>
  <c r="J1177" i="2"/>
  <c r="J1176" i="2"/>
  <c r="J1175" i="2"/>
  <c r="J1174" i="2"/>
  <c r="J1173" i="2"/>
  <c r="J1172" i="2"/>
  <c r="J1171" i="2"/>
  <c r="J1170" i="2"/>
  <c r="J1169" i="2"/>
  <c r="J1168" i="2"/>
  <c r="J1167" i="2"/>
  <c r="J1166" i="2"/>
  <c r="J1165" i="2"/>
  <c r="J1164" i="2"/>
  <c r="J1163" i="2"/>
  <c r="J1162" i="2"/>
  <c r="J1161" i="2"/>
  <c r="J1160" i="2"/>
  <c r="J1159" i="2"/>
  <c r="J1158" i="2"/>
  <c r="J1157" i="2"/>
  <c r="J1156" i="2"/>
  <c r="J1155" i="2"/>
  <c r="J1154" i="2"/>
  <c r="J1153" i="2"/>
  <c r="J1152" i="2"/>
  <c r="J1151" i="2"/>
  <c r="J1150" i="2"/>
  <c r="J1149" i="2"/>
  <c r="J1148" i="2"/>
  <c r="J1147" i="2"/>
  <c r="J1146" i="2"/>
  <c r="J1145" i="2"/>
  <c r="J1144" i="2"/>
  <c r="J1143" i="2"/>
  <c r="J1142" i="2"/>
  <c r="J1141" i="2"/>
  <c r="J1140" i="2"/>
  <c r="J1139" i="2"/>
  <c r="J1138" i="2"/>
  <c r="J1137" i="2"/>
  <c r="J1136" i="2"/>
  <c r="J1135" i="2"/>
  <c r="J1134" i="2"/>
  <c r="J1133" i="2"/>
  <c r="J1132" i="2"/>
  <c r="J1131" i="2"/>
  <c r="J1130" i="2"/>
  <c r="J1129" i="2"/>
  <c r="J1128" i="2"/>
  <c r="J1127" i="2"/>
  <c r="J1126" i="2"/>
  <c r="J1125" i="2"/>
  <c r="J1124" i="2"/>
  <c r="J1123" i="2"/>
  <c r="J1122" i="2"/>
  <c r="J1121" i="2"/>
  <c r="J1120" i="2"/>
  <c r="J1119" i="2"/>
  <c r="J1118" i="2"/>
  <c r="J1117" i="2"/>
  <c r="J1116" i="2"/>
  <c r="J1115" i="2"/>
  <c r="J1114" i="2"/>
  <c r="J1113" i="2"/>
  <c r="J1112" i="2"/>
  <c r="J1111" i="2"/>
  <c r="J1110" i="2"/>
  <c r="J1109" i="2"/>
  <c r="J1108" i="2"/>
  <c r="J1107" i="2"/>
  <c r="J1106" i="2"/>
  <c r="J1105" i="2"/>
  <c r="J1104" i="2"/>
  <c r="J1103" i="2"/>
  <c r="J1102" i="2"/>
  <c r="J1101" i="2"/>
  <c r="H1100" i="2"/>
  <c r="J1100" i="2" s="1"/>
  <c r="J1099" i="2"/>
  <c r="J1098" i="2"/>
  <c r="J1097" i="2"/>
  <c r="J1096" i="2"/>
  <c r="J1095" i="2"/>
  <c r="J1094" i="2"/>
  <c r="J1093" i="2"/>
  <c r="J1092" i="2"/>
  <c r="J1091" i="2"/>
  <c r="J1090" i="2"/>
  <c r="J1089" i="2"/>
  <c r="J1088" i="2"/>
  <c r="J1087" i="2"/>
  <c r="J1086" i="2"/>
  <c r="J1085" i="2"/>
  <c r="J1084" i="2"/>
  <c r="J1083" i="2"/>
  <c r="J1082" i="2"/>
  <c r="J1081" i="2"/>
  <c r="J1080" i="2"/>
  <c r="J1079" i="2"/>
  <c r="J1078" i="2"/>
  <c r="J1077" i="2"/>
  <c r="J1076" i="2"/>
  <c r="J1075" i="2"/>
  <c r="J1074" i="2"/>
  <c r="J1073" i="2"/>
  <c r="J1072" i="2"/>
  <c r="J1071" i="2"/>
  <c r="J1070" i="2"/>
  <c r="J1069" i="2"/>
  <c r="J1068" i="2"/>
  <c r="J1067" i="2"/>
  <c r="J1066" i="2"/>
  <c r="J1065" i="2"/>
  <c r="J1064" i="2"/>
  <c r="J1063" i="2"/>
  <c r="J1062" i="2"/>
  <c r="J1061" i="2"/>
  <c r="J1060" i="2"/>
  <c r="J1059" i="2"/>
  <c r="J1058" i="2"/>
  <c r="J1057" i="2"/>
  <c r="J1056" i="2"/>
  <c r="J1055" i="2"/>
  <c r="J1054" i="2"/>
  <c r="J1053" i="2"/>
  <c r="J1052" i="2"/>
  <c r="J1051" i="2"/>
  <c r="J1050" i="2"/>
  <c r="J1049" i="2"/>
  <c r="J1048" i="2"/>
  <c r="J1047" i="2"/>
  <c r="J1046" i="2"/>
  <c r="J1045" i="2"/>
  <c r="J1044" i="2"/>
  <c r="J1043" i="2"/>
  <c r="J1042" i="2"/>
  <c r="J1041" i="2"/>
  <c r="J1040" i="2"/>
  <c r="J1039" i="2"/>
  <c r="J1038" i="2"/>
  <c r="J1037" i="2"/>
  <c r="J1036" i="2"/>
  <c r="J1035" i="2"/>
  <c r="J1034" i="2"/>
  <c r="J1033" i="2"/>
  <c r="J1032" i="2"/>
  <c r="J1031" i="2"/>
  <c r="J1030" i="2"/>
  <c r="J1029" i="2"/>
  <c r="J1028" i="2"/>
  <c r="J1027" i="2"/>
  <c r="J1026" i="2"/>
  <c r="J1025" i="2"/>
  <c r="J1024" i="2"/>
  <c r="J1023" i="2"/>
  <c r="J1022" i="2"/>
  <c r="J1021" i="2"/>
  <c r="J1020" i="2"/>
  <c r="J1019" i="2"/>
  <c r="J1018" i="2"/>
  <c r="J1017" i="2"/>
  <c r="J1016" i="2"/>
  <c r="J1015" i="2"/>
  <c r="J1014" i="2"/>
  <c r="J1013" i="2"/>
  <c r="J1012" i="2"/>
  <c r="J1011" i="2"/>
  <c r="J1010" i="2"/>
  <c r="J1009" i="2"/>
  <c r="J1008" i="2"/>
  <c r="J1007" i="2"/>
  <c r="J1006" i="2"/>
  <c r="J1005" i="2"/>
  <c r="J1004" i="2"/>
  <c r="J1003" i="2"/>
  <c r="J1002" i="2"/>
  <c r="J1001" i="2"/>
  <c r="J1000" i="2"/>
  <c r="J999" i="2"/>
  <c r="J998" i="2"/>
  <c r="J997" i="2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75" i="2"/>
  <c r="J974" i="2"/>
  <c r="J973" i="2"/>
  <c r="J972" i="2"/>
  <c r="J971" i="2"/>
  <c r="J970" i="2"/>
  <c r="J969" i="2"/>
  <c r="J968" i="2"/>
  <c r="J967" i="2"/>
  <c r="J966" i="2"/>
  <c r="J965" i="2"/>
  <c r="J964" i="2"/>
  <c r="J963" i="2"/>
  <c r="J962" i="2"/>
  <c r="J961" i="2"/>
  <c r="J960" i="2"/>
  <c r="J959" i="2"/>
  <c r="J958" i="2"/>
  <c r="J957" i="2"/>
  <c r="J956" i="2"/>
  <c r="J955" i="2"/>
  <c r="J954" i="2"/>
  <c r="J953" i="2"/>
  <c r="J952" i="2"/>
  <c r="J951" i="2"/>
  <c r="J950" i="2"/>
  <c r="J949" i="2"/>
  <c r="J948" i="2"/>
  <c r="J947" i="2"/>
  <c r="J946" i="2"/>
  <c r="J945" i="2"/>
  <c r="J944" i="2"/>
  <c r="J943" i="2"/>
  <c r="J942" i="2"/>
  <c r="J941" i="2"/>
  <c r="J940" i="2"/>
  <c r="J939" i="2"/>
  <c r="J938" i="2"/>
  <c r="J937" i="2"/>
  <c r="J936" i="2"/>
  <c r="J935" i="2"/>
  <c r="J934" i="2"/>
  <c r="J933" i="2"/>
  <c r="J932" i="2"/>
  <c r="J931" i="2"/>
  <c r="J930" i="2"/>
  <c r="J929" i="2"/>
  <c r="J928" i="2"/>
  <c r="J927" i="2"/>
  <c r="J926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H892" i="2"/>
  <c r="J892" i="2" s="1"/>
  <c r="J891" i="2"/>
  <c r="J890" i="2"/>
  <c r="J889" i="2"/>
  <c r="H888" i="2"/>
  <c r="J888" i="2" s="1"/>
  <c r="H887" i="2"/>
  <c r="J887" i="2" s="1"/>
  <c r="H886" i="2"/>
  <c r="J886" i="2" s="1"/>
  <c r="H885" i="2"/>
  <c r="J885" i="2" s="1"/>
  <c r="H884" i="2"/>
  <c r="J884" i="2" s="1"/>
  <c r="H883" i="2"/>
  <c r="J883" i="2" s="1"/>
  <c r="H882" i="2"/>
  <c r="J882" i="2" s="1"/>
  <c r="H881" i="2"/>
  <c r="J881" i="2" s="1"/>
  <c r="H880" i="2"/>
  <c r="J880" i="2" s="1"/>
  <c r="H879" i="2"/>
  <c r="J879" i="2" s="1"/>
  <c r="J878" i="2"/>
  <c r="H878" i="2"/>
  <c r="H877" i="2"/>
  <c r="J877" i="2" s="1"/>
  <c r="H876" i="2"/>
  <c r="J876" i="2" s="1"/>
  <c r="H875" i="2"/>
  <c r="J875" i="2" s="1"/>
  <c r="H874" i="2"/>
  <c r="J874" i="2" s="1"/>
  <c r="H873" i="2"/>
  <c r="J873" i="2" s="1"/>
  <c r="H872" i="2"/>
  <c r="J872" i="2" s="1"/>
  <c r="H871" i="2"/>
  <c r="J871" i="2" s="1"/>
  <c r="H870" i="2"/>
  <c r="J870" i="2" s="1"/>
  <c r="H869" i="2"/>
  <c r="J869" i="2" s="1"/>
  <c r="H868" i="2"/>
  <c r="J868" i="2" s="1"/>
  <c r="H867" i="2"/>
  <c r="J867" i="2" s="1"/>
  <c r="H866" i="2"/>
  <c r="J866" i="2" s="1"/>
  <c r="H865" i="2"/>
  <c r="J865" i="2" s="1"/>
  <c r="H864" i="2"/>
  <c r="J864" i="2" s="1"/>
  <c r="H863" i="2"/>
  <c r="J863" i="2" s="1"/>
  <c r="H862" i="2"/>
  <c r="J862" i="2" s="1"/>
  <c r="H861" i="2"/>
  <c r="J861" i="2" s="1"/>
  <c r="H860" i="2"/>
  <c r="J860" i="2" s="1"/>
  <c r="H859" i="2"/>
  <c r="J859" i="2" s="1"/>
  <c r="H858" i="2"/>
  <c r="J858" i="2" s="1"/>
  <c r="H857" i="2"/>
  <c r="J857" i="2" s="1"/>
  <c r="H856" i="2"/>
  <c r="J856" i="2" s="1"/>
  <c r="H855" i="2"/>
  <c r="J855" i="2" s="1"/>
  <c r="H854" i="2"/>
  <c r="J854" i="2" s="1"/>
  <c r="J853" i="2"/>
  <c r="H853" i="2"/>
  <c r="H852" i="2"/>
  <c r="J852" i="2" s="1"/>
  <c r="H851" i="2"/>
  <c r="J851" i="2" s="1"/>
  <c r="H850" i="2"/>
  <c r="J850" i="2" s="1"/>
  <c r="H849" i="2"/>
  <c r="J849" i="2" s="1"/>
  <c r="H848" i="2"/>
  <c r="J848" i="2" s="1"/>
  <c r="H847" i="2"/>
  <c r="J847" i="2" s="1"/>
  <c r="H846" i="2"/>
  <c r="J846" i="2" s="1"/>
  <c r="H845" i="2"/>
  <c r="J845" i="2" s="1"/>
  <c r="H844" i="2"/>
  <c r="J844" i="2" s="1"/>
  <c r="H843" i="2"/>
  <c r="J843" i="2" s="1"/>
  <c r="H842" i="2"/>
  <c r="J842" i="2" s="1"/>
  <c r="H841" i="2"/>
  <c r="J841" i="2" s="1"/>
  <c r="H840" i="2"/>
  <c r="J840" i="2" s="1"/>
  <c r="H839" i="2"/>
  <c r="J839" i="2" s="1"/>
  <c r="H838" i="2"/>
  <c r="J838" i="2" s="1"/>
  <c r="J837" i="2"/>
  <c r="H837" i="2"/>
  <c r="H836" i="2"/>
  <c r="J836" i="2" s="1"/>
  <c r="H835" i="2"/>
  <c r="J835" i="2" s="1"/>
  <c r="H834" i="2"/>
  <c r="J834" i="2" s="1"/>
  <c r="H832" i="2"/>
  <c r="H833" i="2" s="1"/>
  <c r="J833" i="2" s="1"/>
  <c r="J831" i="2"/>
  <c r="H831" i="2"/>
  <c r="H830" i="2"/>
  <c r="J830" i="2" s="1"/>
  <c r="H829" i="2"/>
  <c r="J829" i="2" s="1"/>
  <c r="H828" i="2"/>
  <c r="J828" i="2" s="1"/>
  <c r="H827" i="2"/>
  <c r="J827" i="2" s="1"/>
  <c r="H826" i="2"/>
  <c r="J826" i="2" s="1"/>
  <c r="H825" i="2"/>
  <c r="J825" i="2" s="1"/>
  <c r="H824" i="2"/>
  <c r="J824" i="2" s="1"/>
  <c r="J823" i="2"/>
  <c r="H823" i="2"/>
  <c r="H822" i="2"/>
  <c r="J822" i="2" s="1"/>
  <c r="H821" i="2"/>
  <c r="J821" i="2" s="1"/>
  <c r="H820" i="2"/>
  <c r="J820" i="2" s="1"/>
  <c r="H819" i="2"/>
  <c r="J819" i="2" s="1"/>
  <c r="H818" i="2"/>
  <c r="J818" i="2" s="1"/>
  <c r="H817" i="2"/>
  <c r="J817" i="2" s="1"/>
  <c r="H816" i="2"/>
  <c r="J816" i="2" s="1"/>
  <c r="J815" i="2"/>
  <c r="H815" i="2"/>
  <c r="H814" i="2"/>
  <c r="J814" i="2" s="1"/>
  <c r="H813" i="2"/>
  <c r="J813" i="2" s="1"/>
  <c r="H812" i="2"/>
  <c r="J812" i="2" s="1"/>
  <c r="H811" i="2"/>
  <c r="J811" i="2" s="1"/>
  <c r="H810" i="2"/>
  <c r="J810" i="2" s="1"/>
  <c r="H809" i="2"/>
  <c r="J809" i="2" s="1"/>
  <c r="H808" i="2"/>
  <c r="J808" i="2" s="1"/>
  <c r="J807" i="2"/>
  <c r="H807" i="2"/>
  <c r="H806" i="2"/>
  <c r="J806" i="2" s="1"/>
  <c r="H805" i="2"/>
  <c r="J805" i="2" s="1"/>
  <c r="H804" i="2"/>
  <c r="J804" i="2" s="1"/>
  <c r="H803" i="2"/>
  <c r="J803" i="2" s="1"/>
  <c r="H802" i="2"/>
  <c r="J802" i="2" s="1"/>
  <c r="H801" i="2"/>
  <c r="J801" i="2" s="1"/>
  <c r="H800" i="2"/>
  <c r="J800" i="2" s="1"/>
  <c r="J799" i="2"/>
  <c r="H799" i="2"/>
  <c r="H798" i="2"/>
  <c r="J798" i="2" s="1"/>
  <c r="H797" i="2"/>
  <c r="J797" i="2" s="1"/>
  <c r="H796" i="2"/>
  <c r="J796" i="2" s="1"/>
  <c r="H795" i="2"/>
  <c r="J795" i="2" s="1"/>
  <c r="H794" i="2"/>
  <c r="J794" i="2" s="1"/>
  <c r="H793" i="2"/>
  <c r="J793" i="2" s="1"/>
  <c r="H792" i="2"/>
  <c r="J792" i="2" s="1"/>
  <c r="J791" i="2"/>
  <c r="H791" i="2"/>
  <c r="H790" i="2"/>
  <c r="J790" i="2" s="1"/>
  <c r="H789" i="2"/>
  <c r="J789" i="2" s="1"/>
  <c r="H788" i="2"/>
  <c r="J788" i="2" s="1"/>
  <c r="H787" i="2"/>
  <c r="J787" i="2" s="1"/>
  <c r="H786" i="2"/>
  <c r="J786" i="2" s="1"/>
  <c r="H785" i="2"/>
  <c r="J785" i="2" s="1"/>
  <c r="H784" i="2"/>
  <c r="J784" i="2" s="1"/>
  <c r="J783" i="2"/>
  <c r="H783" i="2"/>
  <c r="H782" i="2"/>
  <c r="J782" i="2" s="1"/>
  <c r="H781" i="2"/>
  <c r="J781" i="2" s="1"/>
  <c r="H780" i="2"/>
  <c r="J780" i="2" s="1"/>
  <c r="H779" i="2"/>
  <c r="J779" i="2" s="1"/>
  <c r="H778" i="2"/>
  <c r="H777" i="2"/>
  <c r="L931" i="2" s="1" a="1"/>
  <c r="L931" i="2" s="1"/>
  <c r="J776" i="2"/>
  <c r="M775" i="2" a="1"/>
  <c r="M775" i="2" s="1"/>
  <c r="J775" i="2"/>
  <c r="M774" i="2" a="1"/>
  <c r="M774" i="2" s="1"/>
  <c r="J774" i="2"/>
  <c r="M773" i="2" a="1"/>
  <c r="M773" i="2" s="1"/>
  <c r="L773" i="2" a="1"/>
  <c r="L773" i="2" s="1"/>
  <c r="K773" i="2" a="1"/>
  <c r="K773" i="2" s="1"/>
  <c r="J773" i="2"/>
  <c r="M772" i="2" a="1"/>
  <c r="M772" i="2" s="1"/>
  <c r="L772" i="2" a="1"/>
  <c r="L772" i="2" s="1"/>
  <c r="K772" i="2" a="1"/>
  <c r="K772" i="2" s="1"/>
  <c r="J772" i="2"/>
  <c r="M771" i="2" a="1"/>
  <c r="M771" i="2" s="1"/>
  <c r="L771" i="2" a="1"/>
  <c r="L771" i="2" s="1"/>
  <c r="K771" i="2" a="1"/>
  <c r="K771" i="2" s="1"/>
  <c r="J771" i="2"/>
  <c r="M770" i="2" a="1"/>
  <c r="M770" i="2" s="1"/>
  <c r="L770" i="2" a="1"/>
  <c r="L770" i="2" s="1"/>
  <c r="K770" i="2" a="1"/>
  <c r="K770" i="2" s="1"/>
  <c r="J770" i="2"/>
  <c r="M769" i="2" a="1"/>
  <c r="M769" i="2" s="1"/>
  <c r="L769" i="2" a="1"/>
  <c r="L769" i="2" s="1"/>
  <c r="K769" i="2" a="1"/>
  <c r="K769" i="2" s="1"/>
  <c r="J769" i="2"/>
  <c r="M768" i="2" a="1"/>
  <c r="M768" i="2" s="1"/>
  <c r="L768" i="2" a="1"/>
  <c r="L768" i="2" s="1"/>
  <c r="K768" i="2" a="1"/>
  <c r="K768" i="2" s="1"/>
  <c r="J768" i="2"/>
  <c r="M767" i="2" a="1"/>
  <c r="M767" i="2" s="1"/>
  <c r="L767" i="2" a="1"/>
  <c r="L767" i="2" s="1"/>
  <c r="K767" i="2" a="1"/>
  <c r="K767" i="2" s="1"/>
  <c r="J767" i="2"/>
  <c r="M766" i="2" a="1"/>
  <c r="M766" i="2" s="1"/>
  <c r="L766" i="2" a="1"/>
  <c r="L766" i="2" s="1"/>
  <c r="K766" i="2" a="1"/>
  <c r="K766" i="2" s="1"/>
  <c r="J766" i="2"/>
  <c r="M765" i="2" a="1"/>
  <c r="M765" i="2" s="1"/>
  <c r="L765" i="2" a="1"/>
  <c r="L765" i="2" s="1"/>
  <c r="K765" i="2" a="1"/>
  <c r="K765" i="2" s="1"/>
  <c r="J765" i="2"/>
  <c r="M764" i="2"/>
  <c r="M764" i="2" a="1"/>
  <c r="L764" i="2" a="1"/>
  <c r="L764" i="2" s="1"/>
  <c r="K764" i="2" a="1"/>
  <c r="K764" i="2" s="1"/>
  <c r="J764" i="2"/>
  <c r="M763" i="2" a="1"/>
  <c r="M763" i="2" s="1"/>
  <c r="L763" i="2" a="1"/>
  <c r="L763" i="2" s="1"/>
  <c r="K763" i="2" a="1"/>
  <c r="K763" i="2" s="1"/>
  <c r="J763" i="2"/>
  <c r="M762" i="2" a="1"/>
  <c r="M762" i="2" s="1"/>
  <c r="L762" i="2" a="1"/>
  <c r="L762" i="2" s="1"/>
  <c r="K762" i="2" a="1"/>
  <c r="K762" i="2" s="1"/>
  <c r="J762" i="2"/>
  <c r="M761" i="2" a="1"/>
  <c r="M761" i="2" s="1"/>
  <c r="L761" i="2" a="1"/>
  <c r="L761" i="2" s="1"/>
  <c r="K761" i="2" a="1"/>
  <c r="K761" i="2" s="1"/>
  <c r="J761" i="2"/>
  <c r="M760" i="2" a="1"/>
  <c r="M760" i="2" s="1"/>
  <c r="L760" i="2" a="1"/>
  <c r="L760" i="2" s="1"/>
  <c r="K760" i="2" a="1"/>
  <c r="K760" i="2" s="1"/>
  <c r="J760" i="2"/>
  <c r="M759" i="2" a="1"/>
  <c r="M759" i="2" s="1"/>
  <c r="L759" i="2" a="1"/>
  <c r="L759" i="2" s="1"/>
  <c r="K759" i="2" a="1"/>
  <c r="K759" i="2" s="1"/>
  <c r="J759" i="2"/>
  <c r="M758" i="2" a="1"/>
  <c r="M758" i="2" s="1"/>
  <c r="L758" i="2" a="1"/>
  <c r="L758" i="2" s="1"/>
  <c r="K758" i="2" a="1"/>
  <c r="K758" i="2" s="1"/>
  <c r="J758" i="2"/>
  <c r="M757" i="2" a="1"/>
  <c r="M757" i="2" s="1"/>
  <c r="L757" i="2" a="1"/>
  <c r="L757" i="2" s="1"/>
  <c r="K757" i="2" a="1"/>
  <c r="K757" i="2" s="1"/>
  <c r="J757" i="2"/>
  <c r="M756" i="2" a="1"/>
  <c r="M756" i="2" s="1"/>
  <c r="L756" i="2" a="1"/>
  <c r="L756" i="2" s="1"/>
  <c r="K756" i="2" a="1"/>
  <c r="K756" i="2" s="1"/>
  <c r="J756" i="2"/>
  <c r="M755" i="2" a="1"/>
  <c r="M755" i="2" s="1"/>
  <c r="L755" i="2" a="1"/>
  <c r="L755" i="2" s="1"/>
  <c r="K755" i="2" a="1"/>
  <c r="K755" i="2" s="1"/>
  <c r="J755" i="2"/>
  <c r="M754" i="2" a="1"/>
  <c r="M754" i="2" s="1"/>
  <c r="L754" i="2" a="1"/>
  <c r="L754" i="2" s="1"/>
  <c r="K754" i="2" a="1"/>
  <c r="K754" i="2" s="1"/>
  <c r="J754" i="2"/>
  <c r="M753" i="2"/>
  <c r="M753" i="2" a="1"/>
  <c r="L753" i="2" a="1"/>
  <c r="L753" i="2" s="1"/>
  <c r="K753" i="2" a="1"/>
  <c r="K753" i="2" s="1"/>
  <c r="J753" i="2"/>
  <c r="M752" i="2" a="1"/>
  <c r="M752" i="2" s="1"/>
  <c r="L752" i="2" a="1"/>
  <c r="L752" i="2" s="1"/>
  <c r="K752" i="2"/>
  <c r="K752" i="2" a="1"/>
  <c r="J752" i="2"/>
  <c r="M751" i="2" a="1"/>
  <c r="M751" i="2" s="1"/>
  <c r="L751" i="2" a="1"/>
  <c r="L751" i="2" s="1"/>
  <c r="K751" i="2" a="1"/>
  <c r="K751" i="2" s="1"/>
  <c r="J751" i="2"/>
  <c r="M750" i="2" a="1"/>
  <c r="M750" i="2" s="1"/>
  <c r="L750" i="2" a="1"/>
  <c r="L750" i="2" s="1"/>
  <c r="K750" i="2" a="1"/>
  <c r="K750" i="2" s="1"/>
  <c r="J750" i="2"/>
  <c r="M749" i="2" a="1"/>
  <c r="M749" i="2" s="1"/>
  <c r="L749" i="2" a="1"/>
  <c r="L749" i="2" s="1"/>
  <c r="K749" i="2" a="1"/>
  <c r="K749" i="2" s="1"/>
  <c r="J749" i="2"/>
  <c r="M748" i="2"/>
  <c r="M748" i="2" a="1"/>
  <c r="L748" i="2" a="1"/>
  <c r="L748" i="2" s="1"/>
  <c r="K748" i="2" a="1"/>
  <c r="K748" i="2" s="1"/>
  <c r="J748" i="2"/>
  <c r="M747" i="2" a="1"/>
  <c r="M747" i="2" s="1"/>
  <c r="L747" i="2" a="1"/>
  <c r="L747" i="2" s="1"/>
  <c r="K747" i="2" a="1"/>
  <c r="K747" i="2" s="1"/>
  <c r="J747" i="2"/>
  <c r="M746" i="2" a="1"/>
  <c r="M746" i="2" s="1"/>
  <c r="L746" i="2" a="1"/>
  <c r="L746" i="2" s="1"/>
  <c r="K746" i="2" a="1"/>
  <c r="K746" i="2" s="1"/>
  <c r="J746" i="2"/>
  <c r="M745" i="2" a="1"/>
  <c r="M745" i="2" s="1"/>
  <c r="L745" i="2" a="1"/>
  <c r="L745" i="2" s="1"/>
  <c r="K745" i="2"/>
  <c r="K745" i="2" a="1"/>
  <c r="J745" i="2"/>
  <c r="M744" i="2"/>
  <c r="M744" i="2" a="1"/>
  <c r="L744" i="2" a="1"/>
  <c r="L744" i="2" s="1"/>
  <c r="K744" i="2" a="1"/>
  <c r="K744" i="2" s="1"/>
  <c r="J744" i="2"/>
  <c r="M743" i="2" a="1"/>
  <c r="M743" i="2" s="1"/>
  <c r="L743" i="2" a="1"/>
  <c r="L743" i="2" s="1"/>
  <c r="K743" i="2" a="1"/>
  <c r="K743" i="2" s="1"/>
  <c r="J743" i="2"/>
  <c r="M742" i="2"/>
  <c r="M742" i="2" a="1"/>
  <c r="L742" i="2" a="1"/>
  <c r="L742" i="2" s="1"/>
  <c r="K742" i="2" a="1"/>
  <c r="K742" i="2" s="1"/>
  <c r="J742" i="2"/>
  <c r="M741" i="2" a="1"/>
  <c r="M741" i="2" s="1"/>
  <c r="L741" i="2" a="1"/>
  <c r="L741" i="2" s="1"/>
  <c r="K741" i="2" a="1"/>
  <c r="K741" i="2" s="1"/>
  <c r="J741" i="2"/>
  <c r="M740" i="2" a="1"/>
  <c r="M740" i="2" s="1"/>
  <c r="L740" i="2" a="1"/>
  <c r="L740" i="2" s="1"/>
  <c r="K740" i="2" a="1"/>
  <c r="K740" i="2" s="1"/>
  <c r="J740" i="2"/>
  <c r="M739" i="2" a="1"/>
  <c r="M739" i="2" s="1"/>
  <c r="L739" i="2" a="1"/>
  <c r="L739" i="2" s="1"/>
  <c r="K739" i="2"/>
  <c r="K739" i="2" a="1"/>
  <c r="J739" i="2"/>
  <c r="M738" i="2" a="1"/>
  <c r="M738" i="2" s="1"/>
  <c r="L738" i="2" a="1"/>
  <c r="L738" i="2" s="1"/>
  <c r="K738" i="2" a="1"/>
  <c r="K738" i="2" s="1"/>
  <c r="J738" i="2"/>
  <c r="M737" i="2" a="1"/>
  <c r="M737" i="2" s="1"/>
  <c r="L737" i="2" a="1"/>
  <c r="L737" i="2" s="1"/>
  <c r="K737" i="2" a="1"/>
  <c r="K737" i="2" s="1"/>
  <c r="J737" i="2"/>
  <c r="M736" i="2" a="1"/>
  <c r="M736" i="2" s="1"/>
  <c r="L736" i="2" a="1"/>
  <c r="L736" i="2" s="1"/>
  <c r="K736" i="2" a="1"/>
  <c r="K736" i="2" s="1"/>
  <c r="J736" i="2"/>
  <c r="M735" i="2" a="1"/>
  <c r="M735" i="2" s="1"/>
  <c r="L735" i="2" a="1"/>
  <c r="L735" i="2" s="1"/>
  <c r="K735" i="2" a="1"/>
  <c r="K735" i="2" s="1"/>
  <c r="J735" i="2"/>
  <c r="M734" i="2" a="1"/>
  <c r="M734" i="2" s="1"/>
  <c r="L734" i="2" a="1"/>
  <c r="L734" i="2" s="1"/>
  <c r="K734" i="2" a="1"/>
  <c r="K734" i="2" s="1"/>
  <c r="J734" i="2"/>
  <c r="M733" i="2" a="1"/>
  <c r="M733" i="2" s="1"/>
  <c r="L733" i="2" a="1"/>
  <c r="L733" i="2" s="1"/>
  <c r="K733" i="2" a="1"/>
  <c r="K733" i="2" s="1"/>
  <c r="J733" i="2"/>
  <c r="M732" i="2" a="1"/>
  <c r="M732" i="2" s="1"/>
  <c r="L732" i="2" a="1"/>
  <c r="L732" i="2" s="1"/>
  <c r="K732" i="2" a="1"/>
  <c r="K732" i="2" s="1"/>
  <c r="J732" i="2"/>
  <c r="M731" i="2" a="1"/>
  <c r="M731" i="2" s="1"/>
  <c r="L731" i="2" a="1"/>
  <c r="L731" i="2" s="1"/>
  <c r="K731" i="2" a="1"/>
  <c r="K731" i="2" s="1"/>
  <c r="J731" i="2"/>
  <c r="M730" i="2" a="1"/>
  <c r="M730" i="2" s="1"/>
  <c r="L730" i="2" a="1"/>
  <c r="L730" i="2" s="1"/>
  <c r="K730" i="2" a="1"/>
  <c r="K730" i="2" s="1"/>
  <c r="J730" i="2"/>
  <c r="M729" i="2" a="1"/>
  <c r="M729" i="2" s="1"/>
  <c r="L729" i="2" a="1"/>
  <c r="L729" i="2" s="1"/>
  <c r="K729" i="2" a="1"/>
  <c r="K729" i="2" s="1"/>
  <c r="J729" i="2"/>
  <c r="M728" i="2" a="1"/>
  <c r="M728" i="2" s="1"/>
  <c r="L728" i="2" a="1"/>
  <c r="L728" i="2" s="1"/>
  <c r="K728" i="2" a="1"/>
  <c r="K728" i="2" s="1"/>
  <c r="J728" i="2"/>
  <c r="M727" i="2" a="1"/>
  <c r="M727" i="2" s="1"/>
  <c r="L727" i="2" a="1"/>
  <c r="L727" i="2" s="1"/>
  <c r="K727" i="2" a="1"/>
  <c r="K727" i="2" s="1"/>
  <c r="J727" i="2"/>
  <c r="M726" i="2" a="1"/>
  <c r="M726" i="2" s="1"/>
  <c r="L726" i="2" a="1"/>
  <c r="L726" i="2" s="1"/>
  <c r="K726" i="2" a="1"/>
  <c r="K726" i="2" s="1"/>
  <c r="J726" i="2"/>
  <c r="M725" i="2" a="1"/>
  <c r="M725" i="2" s="1"/>
  <c r="L725" i="2" a="1"/>
  <c r="L725" i="2" s="1"/>
  <c r="K725" i="2" a="1"/>
  <c r="K725" i="2" s="1"/>
  <c r="J725" i="2"/>
  <c r="M724" i="2" a="1"/>
  <c r="M724" i="2" s="1"/>
  <c r="L724" i="2" a="1"/>
  <c r="L724" i="2" s="1"/>
  <c r="K724" i="2" a="1"/>
  <c r="K724" i="2" s="1"/>
  <c r="J724" i="2"/>
  <c r="M723" i="2" a="1"/>
  <c r="M723" i="2" s="1"/>
  <c r="L723" i="2" a="1"/>
  <c r="L723" i="2" s="1"/>
  <c r="K723" i="2" a="1"/>
  <c r="K723" i="2" s="1"/>
  <c r="J723" i="2"/>
  <c r="M722" i="2" a="1"/>
  <c r="M722" i="2" s="1"/>
  <c r="L722" i="2" a="1"/>
  <c r="L722" i="2" s="1"/>
  <c r="K722" i="2" a="1"/>
  <c r="K722" i="2" s="1"/>
  <c r="J722" i="2"/>
  <c r="M721" i="2" a="1"/>
  <c r="M721" i="2" s="1"/>
  <c r="L721" i="2" a="1"/>
  <c r="L721" i="2" s="1"/>
  <c r="K721" i="2" a="1"/>
  <c r="K721" i="2" s="1"/>
  <c r="J721" i="2"/>
  <c r="M720" i="2" a="1"/>
  <c r="M720" i="2" s="1"/>
  <c r="L720" i="2" a="1"/>
  <c r="L720" i="2" s="1"/>
  <c r="K720" i="2" a="1"/>
  <c r="K720" i="2" s="1"/>
  <c r="J720" i="2"/>
  <c r="M719" i="2" a="1"/>
  <c r="M719" i="2" s="1"/>
  <c r="L719" i="2" a="1"/>
  <c r="L719" i="2" s="1"/>
  <c r="K719" i="2" a="1"/>
  <c r="K719" i="2" s="1"/>
  <c r="J719" i="2"/>
  <c r="M718" i="2" a="1"/>
  <c r="M718" i="2" s="1"/>
  <c r="L718" i="2" a="1"/>
  <c r="L718" i="2" s="1"/>
  <c r="K718" i="2" a="1"/>
  <c r="K718" i="2" s="1"/>
  <c r="J718" i="2"/>
  <c r="M717" i="2" a="1"/>
  <c r="M717" i="2" s="1"/>
  <c r="L717" i="2" a="1"/>
  <c r="L717" i="2" s="1"/>
  <c r="K717" i="2" a="1"/>
  <c r="K717" i="2" s="1"/>
  <c r="J717" i="2"/>
  <c r="M716" i="2" a="1"/>
  <c r="M716" i="2" s="1"/>
  <c r="L716" i="2" a="1"/>
  <c r="L716" i="2" s="1"/>
  <c r="K716" i="2" a="1"/>
  <c r="K716" i="2" s="1"/>
  <c r="J716" i="2"/>
  <c r="M715" i="2" a="1"/>
  <c r="M715" i="2" s="1"/>
  <c r="L715" i="2" a="1"/>
  <c r="L715" i="2" s="1"/>
  <c r="K715" i="2" a="1"/>
  <c r="K715" i="2" s="1"/>
  <c r="J715" i="2"/>
  <c r="M714" i="2" a="1"/>
  <c r="M714" i="2" s="1"/>
  <c r="L714" i="2" a="1"/>
  <c r="L714" i="2" s="1"/>
  <c r="K714" i="2" a="1"/>
  <c r="K714" i="2" s="1"/>
  <c r="J714" i="2"/>
  <c r="M713" i="2" a="1"/>
  <c r="M713" i="2" s="1"/>
  <c r="L713" i="2" a="1"/>
  <c r="L713" i="2" s="1"/>
  <c r="K713" i="2" a="1"/>
  <c r="K713" i="2" s="1"/>
  <c r="J713" i="2"/>
  <c r="M712" i="2" a="1"/>
  <c r="M712" i="2" s="1"/>
  <c r="L712" i="2" a="1"/>
  <c r="L712" i="2" s="1"/>
  <c r="K712" i="2" a="1"/>
  <c r="K712" i="2" s="1"/>
  <c r="J712" i="2"/>
  <c r="M711" i="2"/>
  <c r="M711" i="2" a="1"/>
  <c r="L711" i="2" a="1"/>
  <c r="L711" i="2" s="1"/>
  <c r="K711" i="2" a="1"/>
  <c r="K711" i="2" s="1"/>
  <c r="J711" i="2"/>
  <c r="M710" i="2" a="1"/>
  <c r="M710" i="2" s="1"/>
  <c r="L710" i="2" a="1"/>
  <c r="L710" i="2" s="1"/>
  <c r="K710" i="2"/>
  <c r="K710" i="2" a="1"/>
  <c r="J710" i="2"/>
  <c r="M709" i="2" a="1"/>
  <c r="M709" i="2" s="1"/>
  <c r="L709" i="2" a="1"/>
  <c r="L709" i="2" s="1"/>
  <c r="K709" i="2" a="1"/>
  <c r="K709" i="2" s="1"/>
  <c r="J709" i="2"/>
  <c r="M708" i="2"/>
  <c r="M708" i="2" a="1"/>
  <c r="L708" i="2" a="1"/>
  <c r="L708" i="2" s="1"/>
  <c r="K708" i="2" a="1"/>
  <c r="K708" i="2" s="1"/>
  <c r="J708" i="2"/>
  <c r="M707" i="2" a="1"/>
  <c r="M707" i="2" s="1"/>
  <c r="L707" i="2" a="1"/>
  <c r="L707" i="2" s="1"/>
  <c r="K707" i="2" a="1"/>
  <c r="K707" i="2" s="1"/>
  <c r="J707" i="2"/>
  <c r="M706" i="2" a="1"/>
  <c r="M706" i="2" s="1"/>
  <c r="L706" i="2" a="1"/>
  <c r="L706" i="2" s="1"/>
  <c r="K706" i="2" a="1"/>
  <c r="K706" i="2" s="1"/>
  <c r="J706" i="2"/>
  <c r="M705" i="2" a="1"/>
  <c r="M705" i="2" s="1"/>
  <c r="L705" i="2" a="1"/>
  <c r="L705" i="2" s="1"/>
  <c r="K705" i="2" a="1"/>
  <c r="K705" i="2" s="1"/>
  <c r="J705" i="2"/>
  <c r="M704" i="2" a="1"/>
  <c r="M704" i="2" s="1"/>
  <c r="L704" i="2" a="1"/>
  <c r="L704" i="2" s="1"/>
  <c r="K704" i="2" a="1"/>
  <c r="K704" i="2" s="1"/>
  <c r="J704" i="2"/>
  <c r="M703" i="2"/>
  <c r="M703" i="2" a="1"/>
  <c r="L703" i="2" a="1"/>
  <c r="L703" i="2" s="1"/>
  <c r="K703" i="2"/>
  <c r="K703" i="2" a="1"/>
  <c r="J703" i="2"/>
  <c r="M702" i="2" a="1"/>
  <c r="M702" i="2" s="1"/>
  <c r="L702" i="2" a="1"/>
  <c r="L702" i="2" s="1"/>
  <c r="K702" i="2"/>
  <c r="K702" i="2" a="1"/>
  <c r="J702" i="2"/>
  <c r="M701" i="2"/>
  <c r="M701" i="2" a="1"/>
  <c r="L701" i="2" a="1"/>
  <c r="L701" i="2" s="1"/>
  <c r="K701" i="2" a="1"/>
  <c r="K701" i="2" s="1"/>
  <c r="J701" i="2"/>
  <c r="M700" i="2" a="1"/>
  <c r="M700" i="2" s="1"/>
  <c r="L700" i="2" a="1"/>
  <c r="L700" i="2" s="1"/>
  <c r="K700" i="2" a="1"/>
  <c r="K700" i="2" s="1"/>
  <c r="J700" i="2"/>
  <c r="M699" i="2" a="1"/>
  <c r="M699" i="2" s="1"/>
  <c r="L699" i="2" a="1"/>
  <c r="L699" i="2" s="1"/>
  <c r="K699" i="2" a="1"/>
  <c r="K699" i="2" s="1"/>
  <c r="J699" i="2"/>
  <c r="M698" i="2" a="1"/>
  <c r="M698" i="2" s="1"/>
  <c r="L698" i="2" a="1"/>
  <c r="L698" i="2" s="1"/>
  <c r="K698" i="2" a="1"/>
  <c r="K698" i="2" s="1"/>
  <c r="J698" i="2"/>
  <c r="M697" i="2" a="1"/>
  <c r="M697" i="2" s="1"/>
  <c r="L697" i="2" a="1"/>
  <c r="L697" i="2" s="1"/>
  <c r="K697" i="2" a="1"/>
  <c r="K697" i="2" s="1"/>
  <c r="J697" i="2"/>
  <c r="M696" i="2" a="1"/>
  <c r="M696" i="2" s="1"/>
  <c r="L696" i="2" a="1"/>
  <c r="L696" i="2" s="1"/>
  <c r="K696" i="2" a="1"/>
  <c r="K696" i="2" s="1"/>
  <c r="J696" i="2"/>
  <c r="M695" i="2" a="1"/>
  <c r="M695" i="2" s="1"/>
  <c r="L695" i="2" a="1"/>
  <c r="L695" i="2" s="1"/>
  <c r="K695" i="2" a="1"/>
  <c r="K695" i="2" s="1"/>
  <c r="J695" i="2"/>
  <c r="M694" i="2" a="1"/>
  <c r="M694" i="2" s="1"/>
  <c r="L694" i="2" a="1"/>
  <c r="L694" i="2" s="1"/>
  <c r="K694" i="2" a="1"/>
  <c r="K694" i="2" s="1"/>
  <c r="J694" i="2"/>
  <c r="M693" i="2" a="1"/>
  <c r="M693" i="2" s="1"/>
  <c r="L693" i="2" a="1"/>
  <c r="L693" i="2" s="1"/>
  <c r="K693" i="2" a="1"/>
  <c r="K693" i="2" s="1"/>
  <c r="J693" i="2"/>
  <c r="M692" i="2" a="1"/>
  <c r="M692" i="2" s="1"/>
  <c r="L692" i="2" a="1"/>
  <c r="L692" i="2" s="1"/>
  <c r="K692" i="2" a="1"/>
  <c r="K692" i="2" s="1"/>
  <c r="J692" i="2"/>
  <c r="M691" i="2" a="1"/>
  <c r="M691" i="2" s="1"/>
  <c r="L691" i="2" a="1"/>
  <c r="L691" i="2" s="1"/>
  <c r="K691" i="2"/>
  <c r="K691" i="2" a="1"/>
  <c r="J691" i="2"/>
  <c r="M690" i="2" a="1"/>
  <c r="M690" i="2" s="1"/>
  <c r="L690" i="2" a="1"/>
  <c r="L690" i="2" s="1"/>
  <c r="K690" i="2" a="1"/>
  <c r="K690" i="2" s="1"/>
  <c r="J690" i="2"/>
  <c r="M689" i="2" a="1"/>
  <c r="M689" i="2" s="1"/>
  <c r="L689" i="2" a="1"/>
  <c r="L689" i="2" s="1"/>
  <c r="K689" i="2" a="1"/>
  <c r="K689" i="2" s="1"/>
  <c r="J689" i="2"/>
  <c r="M688" i="2" a="1"/>
  <c r="M688" i="2" s="1"/>
  <c r="L688" i="2" a="1"/>
  <c r="L688" i="2" s="1"/>
  <c r="K688" i="2" a="1"/>
  <c r="K688" i="2" s="1"/>
  <c r="J688" i="2"/>
  <c r="M687" i="2" a="1"/>
  <c r="M687" i="2" s="1"/>
  <c r="L687" i="2" a="1"/>
  <c r="L687" i="2" s="1"/>
  <c r="K687" i="2" a="1"/>
  <c r="K687" i="2" s="1"/>
  <c r="J687" i="2"/>
  <c r="M686" i="2" a="1"/>
  <c r="M686" i="2" s="1"/>
  <c r="L686" i="2" a="1"/>
  <c r="L686" i="2" s="1"/>
  <c r="K686" i="2" a="1"/>
  <c r="K686" i="2" s="1"/>
  <c r="J686" i="2"/>
  <c r="M685" i="2" a="1"/>
  <c r="M685" i="2" s="1"/>
  <c r="L685" i="2" a="1"/>
  <c r="L685" i="2" s="1"/>
  <c r="K685" i="2" a="1"/>
  <c r="K685" i="2" s="1"/>
  <c r="J685" i="2"/>
  <c r="M684" i="2" a="1"/>
  <c r="M684" i="2" s="1"/>
  <c r="L684" i="2" a="1"/>
  <c r="L684" i="2" s="1"/>
  <c r="K684" i="2" a="1"/>
  <c r="K684" i="2" s="1"/>
  <c r="J684" i="2"/>
  <c r="M683" i="2" a="1"/>
  <c r="M683" i="2" s="1"/>
  <c r="L683" i="2" a="1"/>
  <c r="L683" i="2" s="1"/>
  <c r="K683" i="2"/>
  <c r="K683" i="2" a="1"/>
  <c r="J683" i="2"/>
  <c r="M682" i="2" a="1"/>
  <c r="M682" i="2" s="1"/>
  <c r="L682" i="2" a="1"/>
  <c r="L682" i="2" s="1"/>
  <c r="K682" i="2" a="1"/>
  <c r="K682" i="2" s="1"/>
  <c r="J682" i="2"/>
  <c r="M681" i="2" a="1"/>
  <c r="M681" i="2" s="1"/>
  <c r="L681" i="2" a="1"/>
  <c r="L681" i="2" s="1"/>
  <c r="K681" i="2" a="1"/>
  <c r="K681" i="2" s="1"/>
  <c r="J681" i="2"/>
  <c r="M680" i="2" a="1"/>
  <c r="M680" i="2" s="1"/>
  <c r="L680" i="2" a="1"/>
  <c r="L680" i="2" s="1"/>
  <c r="K680" i="2" a="1"/>
  <c r="K680" i="2" s="1"/>
  <c r="J680" i="2"/>
  <c r="M679" i="2" a="1"/>
  <c r="M679" i="2" s="1"/>
  <c r="L679" i="2" a="1"/>
  <c r="L679" i="2" s="1"/>
  <c r="K679" i="2" a="1"/>
  <c r="K679" i="2" s="1"/>
  <c r="J679" i="2"/>
  <c r="M678" i="2" a="1"/>
  <c r="M678" i="2" s="1"/>
  <c r="L678" i="2" a="1"/>
  <c r="L678" i="2" s="1"/>
  <c r="K678" i="2" a="1"/>
  <c r="K678" i="2" s="1"/>
  <c r="J678" i="2"/>
  <c r="M677" i="2" a="1"/>
  <c r="M677" i="2" s="1"/>
  <c r="L677" i="2" a="1"/>
  <c r="L677" i="2" s="1"/>
  <c r="K677" i="2"/>
  <c r="K677" i="2" a="1"/>
  <c r="J677" i="2"/>
  <c r="M676" i="2" a="1"/>
  <c r="M676" i="2" s="1"/>
  <c r="L676" i="2" a="1"/>
  <c r="L676" i="2" s="1"/>
  <c r="K676" i="2" a="1"/>
  <c r="K676" i="2" s="1"/>
  <c r="J676" i="2"/>
  <c r="M675" i="2" a="1"/>
  <c r="M675" i="2" s="1"/>
  <c r="L675" i="2" a="1"/>
  <c r="L675" i="2" s="1"/>
  <c r="K675" i="2" a="1"/>
  <c r="K675" i="2" s="1"/>
  <c r="J675" i="2"/>
  <c r="M674" i="2"/>
  <c r="M674" i="2" a="1"/>
  <c r="L674" i="2" a="1"/>
  <c r="L674" i="2" s="1"/>
  <c r="K674" i="2" a="1"/>
  <c r="K674" i="2" s="1"/>
  <c r="J674" i="2"/>
  <c r="M673" i="2" a="1"/>
  <c r="M673" i="2" s="1"/>
  <c r="L673" i="2" a="1"/>
  <c r="L673" i="2" s="1"/>
  <c r="K673" i="2" a="1"/>
  <c r="K673" i="2" s="1"/>
  <c r="J673" i="2"/>
  <c r="M672" i="2" a="1"/>
  <c r="M672" i="2" s="1"/>
  <c r="L672" i="2" a="1"/>
  <c r="L672" i="2" s="1"/>
  <c r="K672" i="2" a="1"/>
  <c r="K672" i="2" s="1"/>
  <c r="J672" i="2"/>
  <c r="M671" i="2" a="1"/>
  <c r="M671" i="2" s="1"/>
  <c r="L671" i="2" a="1"/>
  <c r="L671" i="2" s="1"/>
  <c r="K671" i="2"/>
  <c r="K671" i="2" a="1"/>
  <c r="J671" i="2"/>
  <c r="M670" i="2" a="1"/>
  <c r="M670" i="2" s="1"/>
  <c r="L670" i="2" a="1"/>
  <c r="L670" i="2" s="1"/>
  <c r="K670" i="2" a="1"/>
  <c r="K670" i="2" s="1"/>
  <c r="J670" i="2"/>
  <c r="M669" i="2" a="1"/>
  <c r="M669" i="2" s="1"/>
  <c r="L669" i="2" a="1"/>
  <c r="L669" i="2" s="1"/>
  <c r="K669" i="2"/>
  <c r="K669" i="2" a="1"/>
  <c r="J669" i="2"/>
  <c r="M668" i="2" a="1"/>
  <c r="M668" i="2" s="1"/>
  <c r="L668" i="2" a="1"/>
  <c r="L668" i="2" s="1"/>
  <c r="K668" i="2" a="1"/>
  <c r="K668" i="2" s="1"/>
  <c r="J668" i="2"/>
  <c r="M667" i="2" a="1"/>
  <c r="M667" i="2" s="1"/>
  <c r="L667" i="2" a="1"/>
  <c r="L667" i="2" s="1"/>
  <c r="K667" i="2" a="1"/>
  <c r="K667" i="2" s="1"/>
  <c r="J667" i="2"/>
  <c r="M666" i="2"/>
  <c r="M666" i="2" a="1"/>
  <c r="L666" i="2" a="1"/>
  <c r="L666" i="2" s="1"/>
  <c r="K666" i="2" a="1"/>
  <c r="K666" i="2" s="1"/>
  <c r="J666" i="2"/>
  <c r="M665" i="2" a="1"/>
  <c r="M665" i="2" s="1"/>
  <c r="L665" i="2" a="1"/>
  <c r="L665" i="2" s="1"/>
  <c r="K665" i="2" a="1"/>
  <c r="K665" i="2" s="1"/>
  <c r="J665" i="2"/>
  <c r="M664" i="2" a="1"/>
  <c r="M664" i="2" s="1"/>
  <c r="L664" i="2" a="1"/>
  <c r="L664" i="2" s="1"/>
  <c r="K664" i="2" a="1"/>
  <c r="K664" i="2" s="1"/>
  <c r="J664" i="2"/>
  <c r="M663" i="2" a="1"/>
  <c r="M663" i="2" s="1"/>
  <c r="L663" i="2" a="1"/>
  <c r="L663" i="2" s="1"/>
  <c r="K663" i="2"/>
  <c r="K663" i="2" a="1"/>
  <c r="J663" i="2"/>
  <c r="M662" i="2" a="1"/>
  <c r="M662" i="2" s="1"/>
  <c r="L662" i="2" a="1"/>
  <c r="L662" i="2" s="1"/>
  <c r="K662" i="2" a="1"/>
  <c r="K662" i="2" s="1"/>
  <c r="J662" i="2"/>
  <c r="M661" i="2" a="1"/>
  <c r="M661" i="2" s="1"/>
  <c r="L661" i="2" a="1"/>
  <c r="L661" i="2" s="1"/>
  <c r="K661" i="2"/>
  <c r="K661" i="2" a="1"/>
  <c r="J661" i="2"/>
  <c r="M660" i="2" a="1"/>
  <c r="M660" i="2" s="1"/>
  <c r="L660" i="2" a="1"/>
  <c r="L660" i="2" s="1"/>
  <c r="K660" i="2" a="1"/>
  <c r="K660" i="2" s="1"/>
  <c r="J660" i="2"/>
  <c r="M659" i="2" a="1"/>
  <c r="M659" i="2" s="1"/>
  <c r="L659" i="2" a="1"/>
  <c r="L659" i="2" s="1"/>
  <c r="K659" i="2" a="1"/>
  <c r="K659" i="2" s="1"/>
  <c r="J659" i="2"/>
  <c r="M658" i="2"/>
  <c r="M658" i="2" a="1"/>
  <c r="L658" i="2" a="1"/>
  <c r="L658" i="2" s="1"/>
  <c r="K658" i="2" a="1"/>
  <c r="K658" i="2" s="1"/>
  <c r="J658" i="2"/>
  <c r="M657" i="2" a="1"/>
  <c r="M657" i="2" s="1"/>
  <c r="L657" i="2" a="1"/>
  <c r="L657" i="2" s="1"/>
  <c r="K657" i="2" a="1"/>
  <c r="K657" i="2" s="1"/>
  <c r="J657" i="2"/>
  <c r="M656" i="2" a="1"/>
  <c r="M656" i="2" s="1"/>
  <c r="L656" i="2" a="1"/>
  <c r="L656" i="2" s="1"/>
  <c r="K656" i="2" a="1"/>
  <c r="K656" i="2" s="1"/>
  <c r="J656" i="2"/>
  <c r="M655" i="2" a="1"/>
  <c r="M655" i="2" s="1"/>
  <c r="L655" i="2" a="1"/>
  <c r="L655" i="2" s="1"/>
  <c r="K655" i="2"/>
  <c r="K655" i="2" a="1"/>
  <c r="J655" i="2"/>
  <c r="M654" i="2" a="1"/>
  <c r="M654" i="2" s="1"/>
  <c r="L654" i="2" a="1"/>
  <c r="L654" i="2" s="1"/>
  <c r="K654" i="2" a="1"/>
  <c r="K654" i="2" s="1"/>
  <c r="J654" i="2"/>
  <c r="M653" i="2" a="1"/>
  <c r="M653" i="2" s="1"/>
  <c r="L653" i="2" a="1"/>
  <c r="L653" i="2" s="1"/>
  <c r="K653" i="2" a="1"/>
  <c r="K653" i="2" s="1"/>
  <c r="J653" i="2"/>
  <c r="M652" i="2" a="1"/>
  <c r="M652" i="2" s="1"/>
  <c r="L652" i="2" a="1"/>
  <c r="L652" i="2" s="1"/>
  <c r="K652" i="2" a="1"/>
  <c r="K652" i="2" s="1"/>
  <c r="J652" i="2"/>
  <c r="M651" i="2" a="1"/>
  <c r="M651" i="2" s="1"/>
  <c r="L651" i="2" a="1"/>
  <c r="L651" i="2" s="1"/>
  <c r="K651" i="2"/>
  <c r="K651" i="2" a="1"/>
  <c r="J651" i="2"/>
  <c r="M650" i="2" a="1"/>
  <c r="M650" i="2" s="1"/>
  <c r="L650" i="2" a="1"/>
  <c r="L650" i="2" s="1"/>
  <c r="K650" i="2" a="1"/>
  <c r="K650" i="2" s="1"/>
  <c r="J650" i="2"/>
  <c r="M649" i="2" a="1"/>
  <c r="M649" i="2" s="1"/>
  <c r="L649" i="2" a="1"/>
  <c r="L649" i="2" s="1"/>
  <c r="K649" i="2" a="1"/>
  <c r="K649" i="2" s="1"/>
  <c r="J649" i="2"/>
  <c r="M648" i="2" a="1"/>
  <c r="M648" i="2" s="1"/>
  <c r="L648" i="2" a="1"/>
  <c r="L648" i="2" s="1"/>
  <c r="K648" i="2" a="1"/>
  <c r="K648" i="2" s="1"/>
  <c r="J648" i="2"/>
  <c r="M647" i="2" a="1"/>
  <c r="M647" i="2" s="1"/>
  <c r="L647" i="2" a="1"/>
  <c r="L647" i="2" s="1"/>
  <c r="K647" i="2" a="1"/>
  <c r="K647" i="2" s="1"/>
  <c r="J647" i="2"/>
  <c r="M646" i="2" a="1"/>
  <c r="M646" i="2" s="1"/>
  <c r="L646" i="2" a="1"/>
  <c r="L646" i="2" s="1"/>
  <c r="K646" i="2" a="1"/>
  <c r="K646" i="2" s="1"/>
  <c r="J646" i="2"/>
  <c r="M645" i="2" a="1"/>
  <c r="M645" i="2" s="1"/>
  <c r="L645" i="2" a="1"/>
  <c r="L645" i="2" s="1"/>
  <c r="K645" i="2" a="1"/>
  <c r="K645" i="2" s="1"/>
  <c r="J645" i="2"/>
  <c r="M644" i="2"/>
  <c r="M644" i="2" a="1"/>
  <c r="L644" i="2" a="1"/>
  <c r="L644" i="2" s="1"/>
  <c r="K644" i="2" a="1"/>
  <c r="K644" i="2" s="1"/>
  <c r="J644" i="2"/>
  <c r="M643" i="2" a="1"/>
  <c r="M643" i="2" s="1"/>
  <c r="L643" i="2" a="1"/>
  <c r="L643" i="2" s="1"/>
  <c r="K643" i="2" a="1"/>
  <c r="K643" i="2" s="1"/>
  <c r="J643" i="2"/>
  <c r="M642" i="2" a="1"/>
  <c r="M642" i="2" s="1"/>
  <c r="L642" i="2" a="1"/>
  <c r="L642" i="2" s="1"/>
  <c r="K642" i="2" a="1"/>
  <c r="K642" i="2" s="1"/>
  <c r="J642" i="2"/>
  <c r="M641" i="2" a="1"/>
  <c r="M641" i="2" s="1"/>
  <c r="L641" i="2" a="1"/>
  <c r="L641" i="2" s="1"/>
  <c r="K641" i="2" a="1"/>
  <c r="K641" i="2" s="1"/>
  <c r="J641" i="2"/>
  <c r="M640" i="2" a="1"/>
  <c r="M640" i="2" s="1"/>
  <c r="L640" i="2" a="1"/>
  <c r="L640" i="2" s="1"/>
  <c r="K640" i="2" a="1"/>
  <c r="K640" i="2" s="1"/>
  <c r="J640" i="2"/>
  <c r="M639" i="2" a="1"/>
  <c r="M639" i="2" s="1"/>
  <c r="L639" i="2" a="1"/>
  <c r="L639" i="2" s="1"/>
  <c r="K639" i="2"/>
  <c r="K639" i="2" a="1"/>
  <c r="J639" i="2"/>
  <c r="M638" i="2" a="1"/>
  <c r="M638" i="2" s="1"/>
  <c r="L638" i="2" a="1"/>
  <c r="L638" i="2" s="1"/>
  <c r="K638" i="2" a="1"/>
  <c r="K638" i="2" s="1"/>
  <c r="J638" i="2"/>
  <c r="M637" i="2" a="1"/>
  <c r="M637" i="2" s="1"/>
  <c r="L637" i="2" a="1"/>
  <c r="L637" i="2" s="1"/>
  <c r="K637" i="2" a="1"/>
  <c r="K637" i="2" s="1"/>
  <c r="J637" i="2"/>
  <c r="M636" i="2" a="1"/>
  <c r="M636" i="2" s="1"/>
  <c r="L636" i="2" a="1"/>
  <c r="L636" i="2" s="1"/>
  <c r="K636" i="2" a="1"/>
  <c r="K636" i="2" s="1"/>
  <c r="J636" i="2"/>
  <c r="M635" i="2" a="1"/>
  <c r="M635" i="2" s="1"/>
  <c r="L635" i="2" a="1"/>
  <c r="L635" i="2" s="1"/>
  <c r="K635" i="2"/>
  <c r="K635" i="2" a="1"/>
  <c r="J635" i="2"/>
  <c r="M634" i="2" a="1"/>
  <c r="M634" i="2" s="1"/>
  <c r="L634" i="2" a="1"/>
  <c r="L634" i="2" s="1"/>
  <c r="K634" i="2" a="1"/>
  <c r="K634" i="2" s="1"/>
  <c r="J634" i="2"/>
  <c r="M633" i="2" a="1"/>
  <c r="M633" i="2" s="1"/>
  <c r="L633" i="2" a="1"/>
  <c r="L633" i="2" s="1"/>
  <c r="K633" i="2" a="1"/>
  <c r="K633" i="2" s="1"/>
  <c r="J633" i="2"/>
  <c r="M632" i="2" a="1"/>
  <c r="M632" i="2" s="1"/>
  <c r="L632" i="2" a="1"/>
  <c r="L632" i="2" s="1"/>
  <c r="K632" i="2" a="1"/>
  <c r="K632" i="2" s="1"/>
  <c r="J632" i="2"/>
  <c r="M631" i="2" a="1"/>
  <c r="M631" i="2" s="1"/>
  <c r="L631" i="2" a="1"/>
  <c r="L631" i="2" s="1"/>
  <c r="K631" i="2" a="1"/>
  <c r="K631" i="2" s="1"/>
  <c r="J631" i="2"/>
  <c r="M630" i="2" a="1"/>
  <c r="M630" i="2" s="1"/>
  <c r="L630" i="2" a="1"/>
  <c r="L630" i="2" s="1"/>
  <c r="K630" i="2" a="1"/>
  <c r="K630" i="2" s="1"/>
  <c r="J630" i="2"/>
  <c r="M629" i="2" a="1"/>
  <c r="M629" i="2" s="1"/>
  <c r="L629" i="2" a="1"/>
  <c r="L629" i="2" s="1"/>
  <c r="K629" i="2" a="1"/>
  <c r="K629" i="2" s="1"/>
  <c r="J629" i="2"/>
  <c r="M628" i="2"/>
  <c r="M628" i="2" a="1"/>
  <c r="L628" i="2" a="1"/>
  <c r="L628" i="2" s="1"/>
  <c r="K628" i="2" a="1"/>
  <c r="K628" i="2" s="1"/>
  <c r="J628" i="2"/>
  <c r="M627" i="2" a="1"/>
  <c r="M627" i="2" s="1"/>
  <c r="L627" i="2" a="1"/>
  <c r="L627" i="2" s="1"/>
  <c r="K627" i="2" a="1"/>
  <c r="K627" i="2" s="1"/>
  <c r="J627" i="2"/>
  <c r="M626" i="2" a="1"/>
  <c r="M626" i="2" s="1"/>
  <c r="L626" i="2" a="1"/>
  <c r="L626" i="2" s="1"/>
  <c r="K626" i="2" a="1"/>
  <c r="K626" i="2" s="1"/>
  <c r="J626" i="2"/>
  <c r="M625" i="2" a="1"/>
  <c r="M625" i="2" s="1"/>
  <c r="L625" i="2" a="1"/>
  <c r="L625" i="2" s="1"/>
  <c r="K625" i="2" a="1"/>
  <c r="K625" i="2" s="1"/>
  <c r="J625" i="2"/>
  <c r="M624" i="2" a="1"/>
  <c r="M624" i="2" s="1"/>
  <c r="L624" i="2" a="1"/>
  <c r="L624" i="2" s="1"/>
  <c r="K624" i="2" a="1"/>
  <c r="K624" i="2" s="1"/>
  <c r="J624" i="2"/>
  <c r="M623" i="2" a="1"/>
  <c r="M623" i="2" s="1"/>
  <c r="L623" i="2" a="1"/>
  <c r="L623" i="2" s="1"/>
  <c r="K623" i="2"/>
  <c r="K623" i="2" a="1"/>
  <c r="J623" i="2"/>
  <c r="M622" i="2" a="1"/>
  <c r="M622" i="2" s="1"/>
  <c r="L622" i="2" a="1"/>
  <c r="L622" i="2" s="1"/>
  <c r="K622" i="2" a="1"/>
  <c r="K622" i="2" s="1"/>
  <c r="J622" i="2"/>
  <c r="M621" i="2" a="1"/>
  <c r="M621" i="2" s="1"/>
  <c r="L621" i="2" a="1"/>
  <c r="L621" i="2" s="1"/>
  <c r="K621" i="2" a="1"/>
  <c r="K621" i="2" s="1"/>
  <c r="J621" i="2"/>
  <c r="M620" i="2" a="1"/>
  <c r="M620" i="2" s="1"/>
  <c r="L620" i="2" a="1"/>
  <c r="L620" i="2" s="1"/>
  <c r="K620" i="2" a="1"/>
  <c r="K620" i="2" s="1"/>
  <c r="J620" i="2"/>
  <c r="M619" i="2" a="1"/>
  <c r="M619" i="2" s="1"/>
  <c r="L619" i="2" a="1"/>
  <c r="L619" i="2" s="1"/>
  <c r="K619" i="2"/>
  <c r="K619" i="2" a="1"/>
  <c r="J619" i="2"/>
  <c r="M618" i="2" a="1"/>
  <c r="M618" i="2" s="1"/>
  <c r="L618" i="2" a="1"/>
  <c r="L618" i="2" s="1"/>
  <c r="K618" i="2" a="1"/>
  <c r="K618" i="2" s="1"/>
  <c r="J618" i="2"/>
  <c r="M617" i="2" a="1"/>
  <c r="M617" i="2" s="1"/>
  <c r="L617" i="2" a="1"/>
  <c r="L617" i="2" s="1"/>
  <c r="K617" i="2" a="1"/>
  <c r="K617" i="2" s="1"/>
  <c r="J617" i="2"/>
  <c r="M616" i="2" a="1"/>
  <c r="M616" i="2" s="1"/>
  <c r="L616" i="2" a="1"/>
  <c r="L616" i="2" s="1"/>
  <c r="K616" i="2" a="1"/>
  <c r="K616" i="2" s="1"/>
  <c r="J616" i="2"/>
  <c r="M615" i="2" a="1"/>
  <c r="M615" i="2" s="1"/>
  <c r="L615" i="2" a="1"/>
  <c r="L615" i="2" s="1"/>
  <c r="K615" i="2" a="1"/>
  <c r="K615" i="2" s="1"/>
  <c r="J615" i="2"/>
  <c r="M614" i="2" a="1"/>
  <c r="M614" i="2" s="1"/>
  <c r="L614" i="2" a="1"/>
  <c r="L614" i="2" s="1"/>
  <c r="K614" i="2" a="1"/>
  <c r="K614" i="2" s="1"/>
  <c r="J614" i="2"/>
  <c r="M613" i="2" a="1"/>
  <c r="M613" i="2" s="1"/>
  <c r="L613" i="2" a="1"/>
  <c r="L613" i="2" s="1"/>
  <c r="K613" i="2" a="1"/>
  <c r="K613" i="2" s="1"/>
  <c r="J613" i="2"/>
  <c r="M612" i="2"/>
  <c r="M612" i="2" a="1"/>
  <c r="L612" i="2" a="1"/>
  <c r="L612" i="2" s="1"/>
  <c r="K612" i="2" a="1"/>
  <c r="K612" i="2" s="1"/>
  <c r="J612" i="2"/>
  <c r="M611" i="2" a="1"/>
  <c r="M611" i="2" s="1"/>
  <c r="L611" i="2" a="1"/>
  <c r="L611" i="2" s="1"/>
  <c r="K611" i="2" a="1"/>
  <c r="K611" i="2" s="1"/>
  <c r="J611" i="2"/>
  <c r="M610" i="2" a="1"/>
  <c r="M610" i="2" s="1"/>
  <c r="L610" i="2" a="1"/>
  <c r="L610" i="2" s="1"/>
  <c r="K610" i="2" a="1"/>
  <c r="K610" i="2" s="1"/>
  <c r="J610" i="2"/>
  <c r="M609" i="2" a="1"/>
  <c r="M609" i="2" s="1"/>
  <c r="L609" i="2" a="1"/>
  <c r="L609" i="2" s="1"/>
  <c r="K609" i="2" a="1"/>
  <c r="K609" i="2" s="1"/>
  <c r="J609" i="2"/>
  <c r="M608" i="2" a="1"/>
  <c r="M608" i="2" s="1"/>
  <c r="L608" i="2" a="1"/>
  <c r="L608" i="2" s="1"/>
  <c r="K608" i="2" a="1"/>
  <c r="K608" i="2" s="1"/>
  <c r="J608" i="2"/>
  <c r="M607" i="2" a="1"/>
  <c r="M607" i="2" s="1"/>
  <c r="L607" i="2" a="1"/>
  <c r="L607" i="2" s="1"/>
  <c r="K607" i="2"/>
  <c r="K607" i="2" a="1"/>
  <c r="J607" i="2"/>
  <c r="M606" i="2" a="1"/>
  <c r="M606" i="2" s="1"/>
  <c r="L606" i="2" a="1"/>
  <c r="L606" i="2" s="1"/>
  <c r="K606" i="2" a="1"/>
  <c r="K606" i="2" s="1"/>
  <c r="J606" i="2"/>
  <c r="M605" i="2" a="1"/>
  <c r="M605" i="2" s="1"/>
  <c r="L605" i="2" a="1"/>
  <c r="L605" i="2" s="1"/>
  <c r="K605" i="2" a="1"/>
  <c r="K605" i="2" s="1"/>
  <c r="J605" i="2"/>
  <c r="M604" i="2" a="1"/>
  <c r="M604" i="2" s="1"/>
  <c r="L604" i="2" a="1"/>
  <c r="L604" i="2" s="1"/>
  <c r="K604" i="2" a="1"/>
  <c r="K604" i="2" s="1"/>
  <c r="J604" i="2"/>
  <c r="M603" i="2" a="1"/>
  <c r="M603" i="2" s="1"/>
  <c r="L603" i="2" a="1"/>
  <c r="L603" i="2" s="1"/>
  <c r="K603" i="2"/>
  <c r="K603" i="2" a="1"/>
  <c r="J603" i="2"/>
  <c r="M602" i="2" a="1"/>
  <c r="M602" i="2" s="1"/>
  <c r="L602" i="2" a="1"/>
  <c r="L602" i="2" s="1"/>
  <c r="K602" i="2" a="1"/>
  <c r="K602" i="2" s="1"/>
  <c r="J602" i="2"/>
  <c r="M601" i="2" a="1"/>
  <c r="M601" i="2" s="1"/>
  <c r="L601" i="2" a="1"/>
  <c r="L601" i="2" s="1"/>
  <c r="K601" i="2" a="1"/>
  <c r="K601" i="2" s="1"/>
  <c r="J601" i="2"/>
  <c r="M600" i="2" a="1"/>
  <c r="M600" i="2" s="1"/>
  <c r="L600" i="2" a="1"/>
  <c r="L600" i="2" s="1"/>
  <c r="K600" i="2" a="1"/>
  <c r="K600" i="2" s="1"/>
  <c r="J600" i="2"/>
  <c r="M599" i="2" a="1"/>
  <c r="M599" i="2" s="1"/>
  <c r="L599" i="2" a="1"/>
  <c r="L599" i="2" s="1"/>
  <c r="K599" i="2" a="1"/>
  <c r="K599" i="2" s="1"/>
  <c r="J599" i="2"/>
  <c r="M598" i="2" a="1"/>
  <c r="M598" i="2" s="1"/>
  <c r="L598" i="2" a="1"/>
  <c r="L598" i="2" s="1"/>
  <c r="K598" i="2" a="1"/>
  <c r="K598" i="2" s="1"/>
  <c r="J598" i="2"/>
  <c r="M597" i="2" a="1"/>
  <c r="M597" i="2" s="1"/>
  <c r="L597" i="2" a="1"/>
  <c r="L597" i="2" s="1"/>
  <c r="K597" i="2" a="1"/>
  <c r="K597" i="2" s="1"/>
  <c r="J597" i="2"/>
  <c r="M596" i="2"/>
  <c r="M596" i="2" a="1"/>
  <c r="L596" i="2" a="1"/>
  <c r="L596" i="2" s="1"/>
  <c r="K596" i="2" a="1"/>
  <c r="K596" i="2" s="1"/>
  <c r="J596" i="2"/>
  <c r="M595" i="2" a="1"/>
  <c r="M595" i="2" s="1"/>
  <c r="L595" i="2" a="1"/>
  <c r="L595" i="2" s="1"/>
  <c r="K595" i="2" a="1"/>
  <c r="K595" i="2" s="1"/>
  <c r="J595" i="2"/>
  <c r="M594" i="2" a="1"/>
  <c r="M594" i="2" s="1"/>
  <c r="L594" i="2" a="1"/>
  <c r="L594" i="2" s="1"/>
  <c r="K594" i="2" a="1"/>
  <c r="K594" i="2" s="1"/>
  <c r="J594" i="2"/>
  <c r="M593" i="2" a="1"/>
  <c r="M593" i="2" s="1"/>
  <c r="L593" i="2" a="1"/>
  <c r="L593" i="2" s="1"/>
  <c r="K593" i="2" a="1"/>
  <c r="K593" i="2" s="1"/>
  <c r="J593" i="2"/>
  <c r="M592" i="2" a="1"/>
  <c r="M592" i="2" s="1"/>
  <c r="L592" i="2" a="1"/>
  <c r="L592" i="2" s="1"/>
  <c r="K592" i="2" a="1"/>
  <c r="K592" i="2" s="1"/>
  <c r="J592" i="2"/>
  <c r="M591" i="2" a="1"/>
  <c r="M591" i="2" s="1"/>
  <c r="L591" i="2" a="1"/>
  <c r="L591" i="2" s="1"/>
  <c r="K591" i="2"/>
  <c r="K591" i="2" a="1"/>
  <c r="J591" i="2"/>
  <c r="M590" i="2" a="1"/>
  <c r="M590" i="2" s="1"/>
  <c r="L590" i="2" a="1"/>
  <c r="L590" i="2" s="1"/>
  <c r="K590" i="2" a="1"/>
  <c r="K590" i="2" s="1"/>
  <c r="J590" i="2"/>
  <c r="M589" i="2" a="1"/>
  <c r="M589" i="2" s="1"/>
  <c r="L589" i="2" a="1"/>
  <c r="L589" i="2" s="1"/>
  <c r="K589" i="2" a="1"/>
  <c r="K589" i="2" s="1"/>
  <c r="J589" i="2"/>
  <c r="M588" i="2" a="1"/>
  <c r="M588" i="2" s="1"/>
  <c r="L588" i="2" a="1"/>
  <c r="L588" i="2" s="1"/>
  <c r="K588" i="2" a="1"/>
  <c r="K588" i="2" s="1"/>
  <c r="J588" i="2"/>
  <c r="M587" i="2" a="1"/>
  <c r="M587" i="2" s="1"/>
  <c r="L587" i="2" a="1"/>
  <c r="L587" i="2" s="1"/>
  <c r="K587" i="2"/>
  <c r="K587" i="2" a="1"/>
  <c r="J587" i="2"/>
  <c r="M586" i="2" a="1"/>
  <c r="M586" i="2" s="1"/>
  <c r="L586" i="2" a="1"/>
  <c r="L586" i="2" s="1"/>
  <c r="K586" i="2" a="1"/>
  <c r="K586" i="2" s="1"/>
  <c r="J586" i="2"/>
  <c r="M585" i="2" a="1"/>
  <c r="M585" i="2" s="1"/>
  <c r="L585" i="2" a="1"/>
  <c r="L585" i="2" s="1"/>
  <c r="K585" i="2" a="1"/>
  <c r="K585" i="2" s="1"/>
  <c r="J585" i="2"/>
  <c r="M584" i="2" a="1"/>
  <c r="M584" i="2" s="1"/>
  <c r="L584" i="2" a="1"/>
  <c r="L584" i="2" s="1"/>
  <c r="K584" i="2" a="1"/>
  <c r="K584" i="2" s="1"/>
  <c r="J584" i="2"/>
  <c r="M583" i="2" a="1"/>
  <c r="M583" i="2" s="1"/>
  <c r="L583" i="2" a="1"/>
  <c r="L583" i="2" s="1"/>
  <c r="K583" i="2" a="1"/>
  <c r="K583" i="2" s="1"/>
  <c r="J583" i="2"/>
  <c r="M582" i="2" a="1"/>
  <c r="M582" i="2" s="1"/>
  <c r="L582" i="2" a="1"/>
  <c r="L582" i="2" s="1"/>
  <c r="K582" i="2" a="1"/>
  <c r="K582" i="2" s="1"/>
  <c r="J582" i="2"/>
  <c r="M581" i="2" a="1"/>
  <c r="M581" i="2" s="1"/>
  <c r="L581" i="2" a="1"/>
  <c r="L581" i="2" s="1"/>
  <c r="K581" i="2" a="1"/>
  <c r="K581" i="2" s="1"/>
  <c r="J581" i="2"/>
  <c r="M580" i="2"/>
  <c r="M580" i="2" a="1"/>
  <c r="L580" i="2" a="1"/>
  <c r="L580" i="2" s="1"/>
  <c r="K580" i="2" a="1"/>
  <c r="K580" i="2" s="1"/>
  <c r="J580" i="2"/>
  <c r="M579" i="2" a="1"/>
  <c r="M579" i="2" s="1"/>
  <c r="L579" i="2" a="1"/>
  <c r="L579" i="2" s="1"/>
  <c r="K579" i="2" a="1"/>
  <c r="K579" i="2" s="1"/>
  <c r="J579" i="2"/>
  <c r="M578" i="2" a="1"/>
  <c r="M578" i="2" s="1"/>
  <c r="L578" i="2" a="1"/>
  <c r="L578" i="2" s="1"/>
  <c r="K578" i="2" a="1"/>
  <c r="K578" i="2" s="1"/>
  <c r="J578" i="2"/>
  <c r="M577" i="2" a="1"/>
  <c r="M577" i="2" s="1"/>
  <c r="L577" i="2" a="1"/>
  <c r="L577" i="2" s="1"/>
  <c r="K577" i="2" a="1"/>
  <c r="K577" i="2" s="1"/>
  <c r="J577" i="2"/>
  <c r="M576" i="2" a="1"/>
  <c r="M576" i="2" s="1"/>
  <c r="L576" i="2" a="1"/>
  <c r="L576" i="2" s="1"/>
  <c r="K576" i="2" a="1"/>
  <c r="K576" i="2" s="1"/>
  <c r="J576" i="2"/>
  <c r="M575" i="2" a="1"/>
  <c r="M575" i="2" s="1"/>
  <c r="L575" i="2" a="1"/>
  <c r="L575" i="2" s="1"/>
  <c r="K575" i="2"/>
  <c r="K575" i="2" a="1"/>
  <c r="J575" i="2"/>
  <c r="M574" i="2" a="1"/>
  <c r="M574" i="2" s="1"/>
  <c r="L574" i="2" a="1"/>
  <c r="L574" i="2" s="1"/>
  <c r="K574" i="2" a="1"/>
  <c r="K574" i="2" s="1"/>
  <c r="J574" i="2"/>
  <c r="M573" i="2" a="1"/>
  <c r="M573" i="2" s="1"/>
  <c r="L573" i="2" a="1"/>
  <c r="L573" i="2" s="1"/>
  <c r="K573" i="2" a="1"/>
  <c r="K573" i="2" s="1"/>
  <c r="J573" i="2"/>
  <c r="M572" i="2" a="1"/>
  <c r="M572" i="2" s="1"/>
  <c r="L572" i="2" a="1"/>
  <c r="L572" i="2" s="1"/>
  <c r="K572" i="2" a="1"/>
  <c r="K572" i="2" s="1"/>
  <c r="J572" i="2"/>
  <c r="M571" i="2" a="1"/>
  <c r="M571" i="2" s="1"/>
  <c r="L571" i="2" a="1"/>
  <c r="L571" i="2" s="1"/>
  <c r="K571" i="2"/>
  <c r="K571" i="2" a="1"/>
  <c r="J571" i="2"/>
  <c r="M570" i="2" a="1"/>
  <c r="M570" i="2" s="1"/>
  <c r="L570" i="2" a="1"/>
  <c r="L570" i="2" s="1"/>
  <c r="K570" i="2" a="1"/>
  <c r="K570" i="2" s="1"/>
  <c r="J570" i="2"/>
  <c r="M569" i="2" a="1"/>
  <c r="M569" i="2" s="1"/>
  <c r="L569" i="2" a="1"/>
  <c r="L569" i="2" s="1"/>
  <c r="K569" i="2" a="1"/>
  <c r="K569" i="2" s="1"/>
  <c r="J569" i="2"/>
  <c r="M568" i="2" a="1"/>
  <c r="M568" i="2" s="1"/>
  <c r="L568" i="2" a="1"/>
  <c r="L568" i="2" s="1"/>
  <c r="K568" i="2" a="1"/>
  <c r="K568" i="2" s="1"/>
  <c r="J568" i="2"/>
  <c r="M567" i="2" a="1"/>
  <c r="M567" i="2" s="1"/>
  <c r="L567" i="2" a="1"/>
  <c r="L567" i="2" s="1"/>
  <c r="K567" i="2" a="1"/>
  <c r="K567" i="2" s="1"/>
  <c r="J567" i="2"/>
  <c r="M566" i="2" a="1"/>
  <c r="M566" i="2" s="1"/>
  <c r="L566" i="2" a="1"/>
  <c r="L566" i="2" s="1"/>
  <c r="K566" i="2" a="1"/>
  <c r="K566" i="2" s="1"/>
  <c r="J566" i="2"/>
  <c r="M565" i="2" a="1"/>
  <c r="M565" i="2" s="1"/>
  <c r="L565" i="2" a="1"/>
  <c r="L565" i="2" s="1"/>
  <c r="K565" i="2" a="1"/>
  <c r="K565" i="2" s="1"/>
  <c r="J565" i="2"/>
  <c r="M564" i="2"/>
  <c r="M564" i="2" a="1"/>
  <c r="L564" i="2" a="1"/>
  <c r="L564" i="2" s="1"/>
  <c r="K564" i="2" a="1"/>
  <c r="K564" i="2" s="1"/>
  <c r="J564" i="2"/>
  <c r="M563" i="2" a="1"/>
  <c r="M563" i="2" s="1"/>
  <c r="L563" i="2" a="1"/>
  <c r="L563" i="2" s="1"/>
  <c r="K563" i="2" a="1"/>
  <c r="K563" i="2" s="1"/>
  <c r="J563" i="2"/>
  <c r="M562" i="2"/>
  <c r="M562" i="2" a="1"/>
  <c r="L562" i="2" a="1"/>
  <c r="L562" i="2" s="1"/>
  <c r="K562" i="2" a="1"/>
  <c r="K562" i="2" s="1"/>
  <c r="J562" i="2"/>
  <c r="M561" i="2" a="1"/>
  <c r="M561" i="2" s="1"/>
  <c r="L561" i="2" a="1"/>
  <c r="L561" i="2" s="1"/>
  <c r="K561" i="2" a="1"/>
  <c r="K561" i="2" s="1"/>
  <c r="J561" i="2"/>
  <c r="M560" i="2" a="1"/>
  <c r="M560" i="2" s="1"/>
  <c r="L560" i="2" a="1"/>
  <c r="L560" i="2" s="1"/>
  <c r="K560" i="2" a="1"/>
  <c r="K560" i="2" s="1"/>
  <c r="J560" i="2"/>
  <c r="M559" i="2" a="1"/>
  <c r="M559" i="2" s="1"/>
  <c r="L559" i="2" a="1"/>
  <c r="L559" i="2" s="1"/>
  <c r="K559" i="2"/>
  <c r="K559" i="2" a="1"/>
  <c r="J559" i="2"/>
  <c r="M558" i="2"/>
  <c r="M558" i="2" a="1"/>
  <c r="L558" i="2" a="1"/>
  <c r="L558" i="2" s="1"/>
  <c r="K558" i="2" a="1"/>
  <c r="K558" i="2" s="1"/>
  <c r="J558" i="2"/>
  <c r="M557" i="2" a="1"/>
  <c r="M557" i="2" s="1"/>
  <c r="L557" i="2" a="1"/>
  <c r="L557" i="2" s="1"/>
  <c r="K557" i="2" a="1"/>
  <c r="K557" i="2" s="1"/>
  <c r="J557" i="2"/>
  <c r="M556" i="2"/>
  <c r="M556" i="2" a="1"/>
  <c r="L556" i="2" a="1"/>
  <c r="L556" i="2" s="1"/>
  <c r="K556" i="2" a="1"/>
  <c r="K556" i="2" s="1"/>
  <c r="J556" i="2"/>
  <c r="M555" i="2" a="1"/>
  <c r="M555" i="2" s="1"/>
  <c r="L555" i="2" a="1"/>
  <c r="L555" i="2" s="1"/>
  <c r="K555" i="2"/>
  <c r="K555" i="2" a="1"/>
  <c r="J555" i="2"/>
  <c r="M554" i="2"/>
  <c r="M554" i="2" a="1"/>
  <c r="L554" i="2" a="1"/>
  <c r="L554" i="2" s="1"/>
  <c r="K554" i="2" a="1"/>
  <c r="K554" i="2" s="1"/>
  <c r="J554" i="2"/>
  <c r="M553" i="2" a="1"/>
  <c r="M553" i="2" s="1"/>
  <c r="L553" i="2" a="1"/>
  <c r="L553" i="2" s="1"/>
  <c r="K553" i="2" a="1"/>
  <c r="K553" i="2" s="1"/>
  <c r="J553" i="2"/>
  <c r="M552" i="2" a="1"/>
  <c r="M552" i="2" s="1"/>
  <c r="L552" i="2" a="1"/>
  <c r="L552" i="2" s="1"/>
  <c r="K552" i="2" a="1"/>
  <c r="K552" i="2" s="1"/>
  <c r="J552" i="2"/>
  <c r="M551" i="2" a="1"/>
  <c r="M551" i="2" s="1"/>
  <c r="L551" i="2" a="1"/>
  <c r="L551" i="2" s="1"/>
  <c r="K551" i="2"/>
  <c r="K551" i="2" a="1"/>
  <c r="J551" i="2"/>
  <c r="M550" i="2" a="1"/>
  <c r="M550" i="2" s="1"/>
  <c r="L550" i="2" a="1"/>
  <c r="L550" i="2" s="1"/>
  <c r="K550" i="2" a="1"/>
  <c r="K550" i="2" s="1"/>
  <c r="J550" i="2"/>
  <c r="M549" i="2" a="1"/>
  <c r="M549" i="2" s="1"/>
  <c r="L549" i="2" a="1"/>
  <c r="L549" i="2" s="1"/>
  <c r="K549" i="2" a="1"/>
  <c r="K549" i="2" s="1"/>
  <c r="J549" i="2"/>
  <c r="M548" i="2"/>
  <c r="M548" i="2" a="1"/>
  <c r="L548" i="2" a="1"/>
  <c r="L548" i="2" s="1"/>
  <c r="K548" i="2" a="1"/>
  <c r="K548" i="2" s="1"/>
  <c r="J548" i="2"/>
  <c r="M547" i="2" a="1"/>
  <c r="M547" i="2" s="1"/>
  <c r="L547" i="2" a="1"/>
  <c r="L547" i="2" s="1"/>
  <c r="K547" i="2" a="1"/>
  <c r="K547" i="2" s="1"/>
  <c r="J547" i="2"/>
  <c r="M546" i="2"/>
  <c r="M546" i="2" a="1"/>
  <c r="L546" i="2" a="1"/>
  <c r="L546" i="2" s="1"/>
  <c r="K546" i="2" a="1"/>
  <c r="K546" i="2" s="1"/>
  <c r="J546" i="2"/>
  <c r="M545" i="2" a="1"/>
  <c r="M545" i="2" s="1"/>
  <c r="L545" i="2" a="1"/>
  <c r="L545" i="2" s="1"/>
  <c r="K545" i="2" a="1"/>
  <c r="K545" i="2" s="1"/>
  <c r="J545" i="2"/>
  <c r="M544" i="2" a="1"/>
  <c r="M544" i="2" s="1"/>
  <c r="L544" i="2" a="1"/>
  <c r="L544" i="2" s="1"/>
  <c r="K544" i="2" a="1"/>
  <c r="K544" i="2" s="1"/>
  <c r="J544" i="2"/>
  <c r="M543" i="2" a="1"/>
  <c r="M543" i="2" s="1"/>
  <c r="L543" i="2" a="1"/>
  <c r="L543" i="2" s="1"/>
  <c r="K543" i="2"/>
  <c r="K543" i="2" a="1"/>
  <c r="J543" i="2"/>
  <c r="M542" i="2"/>
  <c r="M542" i="2" a="1"/>
  <c r="L542" i="2" a="1"/>
  <c r="L542" i="2" s="1"/>
  <c r="K542" i="2" a="1"/>
  <c r="K542" i="2" s="1"/>
  <c r="J542" i="2"/>
  <c r="M541" i="2" a="1"/>
  <c r="M541" i="2" s="1"/>
  <c r="L541" i="2" a="1"/>
  <c r="L541" i="2" s="1"/>
  <c r="K541" i="2" a="1"/>
  <c r="K541" i="2" s="1"/>
  <c r="J541" i="2"/>
  <c r="M540" i="2"/>
  <c r="M540" i="2" a="1"/>
  <c r="L540" i="2" a="1"/>
  <c r="L540" i="2" s="1"/>
  <c r="K540" i="2" a="1"/>
  <c r="K540" i="2" s="1"/>
  <c r="J540" i="2"/>
  <c r="M539" i="2" a="1"/>
  <c r="M539" i="2" s="1"/>
  <c r="L539" i="2" a="1"/>
  <c r="L539" i="2" s="1"/>
  <c r="K539" i="2"/>
  <c r="K539" i="2" a="1"/>
  <c r="J539" i="2"/>
  <c r="M538" i="2"/>
  <c r="M538" i="2" a="1"/>
  <c r="L538" i="2" a="1"/>
  <c r="L538" i="2" s="1"/>
  <c r="K538" i="2" a="1"/>
  <c r="K538" i="2" s="1"/>
  <c r="J538" i="2"/>
  <c r="M537" i="2" a="1"/>
  <c r="M537" i="2" s="1"/>
  <c r="L537" i="2" a="1"/>
  <c r="L537" i="2" s="1"/>
  <c r="K537" i="2" a="1"/>
  <c r="K537" i="2" s="1"/>
  <c r="J537" i="2"/>
  <c r="M536" i="2"/>
  <c r="M536" i="2" a="1"/>
  <c r="L536" i="2" a="1"/>
  <c r="L536" i="2" s="1"/>
  <c r="K536" i="2" a="1"/>
  <c r="K536" i="2" s="1"/>
  <c r="J536" i="2"/>
  <c r="M535" i="2" a="1"/>
  <c r="M535" i="2" s="1"/>
  <c r="L535" i="2" a="1"/>
  <c r="L535" i="2" s="1"/>
  <c r="K535" i="2"/>
  <c r="K535" i="2" a="1"/>
  <c r="J535" i="2"/>
  <c r="M534" i="2" a="1"/>
  <c r="M534" i="2" s="1"/>
  <c r="L534" i="2" a="1"/>
  <c r="L534" i="2" s="1"/>
  <c r="K534" i="2" a="1"/>
  <c r="K534" i="2" s="1"/>
  <c r="J534" i="2"/>
  <c r="M533" i="2" a="1"/>
  <c r="M533" i="2" s="1"/>
  <c r="L533" i="2" a="1"/>
  <c r="L533" i="2" s="1"/>
  <c r="K533" i="2" a="1"/>
  <c r="K533" i="2" s="1"/>
  <c r="J533" i="2"/>
  <c r="M532" i="2"/>
  <c r="M532" i="2" a="1"/>
  <c r="L532" i="2" a="1"/>
  <c r="L532" i="2" s="1"/>
  <c r="K532" i="2" a="1"/>
  <c r="K532" i="2" s="1"/>
  <c r="J532" i="2"/>
  <c r="M531" i="2" a="1"/>
  <c r="M531" i="2" s="1"/>
  <c r="L531" i="2" a="1"/>
  <c r="L531" i="2" s="1"/>
  <c r="K531" i="2" a="1"/>
  <c r="K531" i="2" s="1"/>
  <c r="J531" i="2"/>
  <c r="M530" i="2" a="1"/>
  <c r="M530" i="2" s="1"/>
  <c r="L530" i="2" a="1"/>
  <c r="L530" i="2" s="1"/>
  <c r="K530" i="2" a="1"/>
  <c r="K530" i="2" s="1"/>
  <c r="J530" i="2"/>
  <c r="M529" i="2" a="1"/>
  <c r="M529" i="2" s="1"/>
  <c r="L529" i="2" a="1"/>
  <c r="L529" i="2" s="1"/>
  <c r="K529" i="2" a="1"/>
  <c r="K529" i="2" s="1"/>
  <c r="J529" i="2"/>
  <c r="M528" i="2" a="1"/>
  <c r="M528" i="2" s="1"/>
  <c r="L528" i="2" a="1"/>
  <c r="L528" i="2" s="1"/>
  <c r="K528" i="2" a="1"/>
  <c r="K528" i="2" s="1"/>
  <c r="J528" i="2"/>
  <c r="M527" i="2" a="1"/>
  <c r="M527" i="2" s="1"/>
  <c r="L527" i="2" a="1"/>
  <c r="L527" i="2" s="1"/>
  <c r="K527" i="2"/>
  <c r="K527" i="2" a="1"/>
  <c r="J527" i="2"/>
  <c r="M526" i="2" a="1"/>
  <c r="M526" i="2" s="1"/>
  <c r="L526" i="2" a="1"/>
  <c r="L526" i="2" s="1"/>
  <c r="K526" i="2" a="1"/>
  <c r="K526" i="2" s="1"/>
  <c r="J526" i="2"/>
  <c r="M525" i="2" a="1"/>
  <c r="M525" i="2" s="1"/>
  <c r="L525" i="2" a="1"/>
  <c r="L525" i="2" s="1"/>
  <c r="K525" i="2" a="1"/>
  <c r="K525" i="2" s="1"/>
  <c r="J525" i="2"/>
  <c r="M524" i="2" a="1"/>
  <c r="M524" i="2" s="1"/>
  <c r="L524" i="2" a="1"/>
  <c r="L524" i="2" s="1"/>
  <c r="K524" i="2" a="1"/>
  <c r="K524" i="2" s="1"/>
  <c r="J524" i="2"/>
  <c r="M523" i="2" a="1"/>
  <c r="M523" i="2" s="1"/>
  <c r="L523" i="2" a="1"/>
  <c r="L523" i="2" s="1"/>
  <c r="K523" i="2"/>
  <c r="K523" i="2" a="1"/>
  <c r="J523" i="2"/>
  <c r="M522" i="2" a="1"/>
  <c r="M522" i="2" s="1"/>
  <c r="L522" i="2" a="1"/>
  <c r="L522" i="2" s="1"/>
  <c r="K522" i="2" a="1"/>
  <c r="K522" i="2" s="1"/>
  <c r="J522" i="2"/>
  <c r="M521" i="2" a="1"/>
  <c r="M521" i="2" s="1"/>
  <c r="L521" i="2" a="1"/>
  <c r="L521" i="2" s="1"/>
  <c r="K521" i="2" a="1"/>
  <c r="K521" i="2" s="1"/>
  <c r="J521" i="2"/>
  <c r="M520" i="2" a="1"/>
  <c r="M520" i="2" s="1"/>
  <c r="L520" i="2" a="1"/>
  <c r="L520" i="2" s="1"/>
  <c r="K520" i="2" a="1"/>
  <c r="K520" i="2" s="1"/>
  <c r="J520" i="2"/>
  <c r="M519" i="2" a="1"/>
  <c r="M519" i="2" s="1"/>
  <c r="L519" i="2" a="1"/>
  <c r="L519" i="2" s="1"/>
  <c r="K519" i="2" a="1"/>
  <c r="K519" i="2" s="1"/>
  <c r="J519" i="2"/>
  <c r="M518" i="2" a="1"/>
  <c r="M518" i="2" s="1"/>
  <c r="L518" i="2" a="1"/>
  <c r="L518" i="2" s="1"/>
  <c r="K518" i="2" a="1"/>
  <c r="K518" i="2" s="1"/>
  <c r="J518" i="2"/>
  <c r="M517" i="2" a="1"/>
  <c r="M517" i="2" s="1"/>
  <c r="L517" i="2" a="1"/>
  <c r="L517" i="2" s="1"/>
  <c r="K517" i="2" a="1"/>
  <c r="K517" i="2" s="1"/>
  <c r="J517" i="2"/>
  <c r="M516" i="2"/>
  <c r="M516" i="2" a="1"/>
  <c r="L516" i="2" a="1"/>
  <c r="L516" i="2" s="1"/>
  <c r="K516" i="2" a="1"/>
  <c r="K516" i="2" s="1"/>
  <c r="J516" i="2"/>
  <c r="M515" i="2" a="1"/>
  <c r="M515" i="2" s="1"/>
  <c r="L515" i="2" a="1"/>
  <c r="L515" i="2" s="1"/>
  <c r="K515" i="2" a="1"/>
  <c r="K515" i="2" s="1"/>
  <c r="J515" i="2"/>
  <c r="M514" i="2" a="1"/>
  <c r="M514" i="2" s="1"/>
  <c r="L514" i="2" a="1"/>
  <c r="L514" i="2" s="1"/>
  <c r="K514" i="2" a="1"/>
  <c r="K514" i="2" s="1"/>
  <c r="J514" i="2"/>
  <c r="M513" i="2" a="1"/>
  <c r="M513" i="2" s="1"/>
  <c r="L513" i="2" a="1"/>
  <c r="L513" i="2" s="1"/>
  <c r="K513" i="2" a="1"/>
  <c r="K513" i="2" s="1"/>
  <c r="J513" i="2"/>
  <c r="M512" i="2" a="1"/>
  <c r="M512" i="2" s="1"/>
  <c r="L512" i="2" a="1"/>
  <c r="L512" i="2" s="1"/>
  <c r="K512" i="2" a="1"/>
  <c r="K512" i="2" s="1"/>
  <c r="J512" i="2"/>
  <c r="M511" i="2" a="1"/>
  <c r="M511" i="2" s="1"/>
  <c r="L511" i="2" a="1"/>
  <c r="L511" i="2" s="1"/>
  <c r="K511" i="2"/>
  <c r="K511" i="2" a="1"/>
  <c r="J511" i="2"/>
  <c r="M510" i="2" a="1"/>
  <c r="M510" i="2" s="1"/>
  <c r="L510" i="2" a="1"/>
  <c r="L510" i="2" s="1"/>
  <c r="K510" i="2" a="1"/>
  <c r="K510" i="2" s="1"/>
  <c r="J510" i="2"/>
  <c r="M509" i="2" a="1"/>
  <c r="M509" i="2" s="1"/>
  <c r="L509" i="2" a="1"/>
  <c r="L509" i="2" s="1"/>
  <c r="K509" i="2" a="1"/>
  <c r="K509" i="2" s="1"/>
  <c r="J509" i="2"/>
  <c r="M508" i="2" a="1"/>
  <c r="M508" i="2" s="1"/>
  <c r="L508" i="2" a="1"/>
  <c r="L508" i="2" s="1"/>
  <c r="K508" i="2" a="1"/>
  <c r="K508" i="2" s="1"/>
  <c r="J508" i="2"/>
  <c r="M507" i="2" a="1"/>
  <c r="M507" i="2" s="1"/>
  <c r="L507" i="2" a="1"/>
  <c r="L507" i="2" s="1"/>
  <c r="K507" i="2"/>
  <c r="K507" i="2" a="1"/>
  <c r="J507" i="2"/>
  <c r="M506" i="2" a="1"/>
  <c r="M506" i="2" s="1"/>
  <c r="L506" i="2" a="1"/>
  <c r="L506" i="2" s="1"/>
  <c r="K506" i="2" a="1"/>
  <c r="K506" i="2" s="1"/>
  <c r="J506" i="2"/>
  <c r="M505" i="2" a="1"/>
  <c r="M505" i="2" s="1"/>
  <c r="L505" i="2" a="1"/>
  <c r="L505" i="2" s="1"/>
  <c r="K505" i="2" a="1"/>
  <c r="K505" i="2" s="1"/>
  <c r="J505" i="2"/>
  <c r="M504" i="2" a="1"/>
  <c r="M504" i="2" s="1"/>
  <c r="L504" i="2" a="1"/>
  <c r="L504" i="2" s="1"/>
  <c r="K504" i="2" a="1"/>
  <c r="K504" i="2" s="1"/>
  <c r="J504" i="2"/>
  <c r="M503" i="2" a="1"/>
  <c r="M503" i="2" s="1"/>
  <c r="L503" i="2" a="1"/>
  <c r="L503" i="2" s="1"/>
  <c r="K503" i="2" a="1"/>
  <c r="K503" i="2" s="1"/>
  <c r="J503" i="2"/>
  <c r="M502" i="2"/>
  <c r="M502" i="2" a="1"/>
  <c r="L502" i="2" a="1"/>
  <c r="L502" i="2" s="1"/>
  <c r="K502" i="2" a="1"/>
  <c r="K502" i="2" s="1"/>
  <c r="J502" i="2"/>
  <c r="M501" i="2" a="1"/>
  <c r="M501" i="2" s="1"/>
  <c r="L501" i="2" a="1"/>
  <c r="L501" i="2" s="1"/>
  <c r="K501" i="2" a="1"/>
  <c r="K501" i="2" s="1"/>
  <c r="J501" i="2"/>
  <c r="M500" i="2" a="1"/>
  <c r="M500" i="2" s="1"/>
  <c r="L500" i="2" a="1"/>
  <c r="L500" i="2" s="1"/>
  <c r="K500" i="2" a="1"/>
  <c r="K500" i="2" s="1"/>
  <c r="J500" i="2"/>
  <c r="M499" i="2" a="1"/>
  <c r="M499" i="2" s="1"/>
  <c r="L499" i="2" a="1"/>
  <c r="L499" i="2" s="1"/>
  <c r="K499" i="2" a="1"/>
  <c r="K499" i="2" s="1"/>
  <c r="J499" i="2"/>
  <c r="M498" i="2"/>
  <c r="M498" i="2" a="1"/>
  <c r="L498" i="2" a="1"/>
  <c r="L498" i="2" s="1"/>
  <c r="K498" i="2" a="1"/>
  <c r="K498" i="2" s="1"/>
  <c r="J498" i="2"/>
  <c r="M497" i="2" a="1"/>
  <c r="M497" i="2" s="1"/>
  <c r="L497" i="2" a="1"/>
  <c r="L497" i="2" s="1"/>
  <c r="K497" i="2" a="1"/>
  <c r="K497" i="2" s="1"/>
  <c r="J497" i="2"/>
  <c r="M496" i="2" a="1"/>
  <c r="M496" i="2" s="1"/>
  <c r="L496" i="2" a="1"/>
  <c r="L496" i="2" s="1"/>
  <c r="K496" i="2" a="1"/>
  <c r="K496" i="2" s="1"/>
  <c r="J496" i="2"/>
  <c r="M495" i="2" a="1"/>
  <c r="M495" i="2" s="1"/>
  <c r="L495" i="2" a="1"/>
  <c r="L495" i="2" s="1"/>
  <c r="K495" i="2" a="1"/>
  <c r="K495" i="2" s="1"/>
  <c r="J495" i="2"/>
  <c r="M494" i="2" a="1"/>
  <c r="M494" i="2" s="1"/>
  <c r="L494" i="2" a="1"/>
  <c r="L494" i="2" s="1"/>
  <c r="K494" i="2" a="1"/>
  <c r="K494" i="2" s="1"/>
  <c r="J494" i="2"/>
  <c r="M493" i="2" a="1"/>
  <c r="M493" i="2" s="1"/>
  <c r="L493" i="2" a="1"/>
  <c r="L493" i="2" s="1"/>
  <c r="K493" i="2"/>
  <c r="K493" i="2" a="1"/>
  <c r="J493" i="2"/>
  <c r="M492" i="2" a="1"/>
  <c r="M492" i="2" s="1"/>
  <c r="L492" i="2" a="1"/>
  <c r="L492" i="2" s="1"/>
  <c r="K492" i="2" a="1"/>
  <c r="K492" i="2" s="1"/>
  <c r="J492" i="2"/>
  <c r="M491" i="2" a="1"/>
  <c r="M491" i="2" s="1"/>
  <c r="L491" i="2" a="1"/>
  <c r="L491" i="2" s="1"/>
  <c r="K491" i="2" a="1"/>
  <c r="K491" i="2" s="1"/>
  <c r="J491" i="2"/>
  <c r="M490" i="2" a="1"/>
  <c r="M490" i="2" s="1"/>
  <c r="L490" i="2" a="1"/>
  <c r="L490" i="2" s="1"/>
  <c r="K490" i="2" a="1"/>
  <c r="K490" i="2" s="1"/>
  <c r="J490" i="2"/>
  <c r="M489" i="2" a="1"/>
  <c r="M489" i="2" s="1"/>
  <c r="L489" i="2" a="1"/>
  <c r="L489" i="2" s="1"/>
  <c r="K489" i="2" a="1"/>
  <c r="K489" i="2" s="1"/>
  <c r="J489" i="2"/>
  <c r="M488" i="2"/>
  <c r="M488" i="2" a="1"/>
  <c r="L488" i="2" a="1"/>
  <c r="L488" i="2" s="1"/>
  <c r="K488" i="2" a="1"/>
  <c r="K488" i="2" s="1"/>
  <c r="J488" i="2"/>
  <c r="M487" i="2" a="1"/>
  <c r="M487" i="2" s="1"/>
  <c r="L487" i="2" a="1"/>
  <c r="L487" i="2" s="1"/>
  <c r="K487" i="2" a="1"/>
  <c r="K487" i="2" s="1"/>
  <c r="J487" i="2"/>
  <c r="M486" i="2" a="1"/>
  <c r="M486" i="2" s="1"/>
  <c r="L486" i="2" a="1"/>
  <c r="L486" i="2" s="1"/>
  <c r="K486" i="2" a="1"/>
  <c r="K486" i="2" s="1"/>
  <c r="J486" i="2"/>
  <c r="M485" i="2" a="1"/>
  <c r="M485" i="2" s="1"/>
  <c r="L485" i="2" a="1"/>
  <c r="L485" i="2" s="1"/>
  <c r="K485" i="2"/>
  <c r="K485" i="2" a="1"/>
  <c r="J485" i="2"/>
  <c r="M484" i="2" a="1"/>
  <c r="M484" i="2" s="1"/>
  <c r="L484" i="2" a="1"/>
  <c r="L484" i="2" s="1"/>
  <c r="K484" i="2" a="1"/>
  <c r="K484" i="2" s="1"/>
  <c r="J484" i="2"/>
  <c r="M483" i="2" a="1"/>
  <c r="M483" i="2" s="1"/>
  <c r="L483" i="2" a="1"/>
  <c r="L483" i="2" s="1"/>
  <c r="K483" i="2" a="1"/>
  <c r="K483" i="2" s="1"/>
  <c r="J483" i="2"/>
  <c r="M482" i="2" a="1"/>
  <c r="M482" i="2" s="1"/>
  <c r="L482" i="2" a="1"/>
  <c r="L482" i="2" s="1"/>
  <c r="K482" i="2" a="1"/>
  <c r="K482" i="2" s="1"/>
  <c r="J482" i="2"/>
  <c r="M481" i="2" a="1"/>
  <c r="M481" i="2" s="1"/>
  <c r="L481" i="2" a="1"/>
  <c r="L481" i="2" s="1"/>
  <c r="K481" i="2" a="1"/>
  <c r="K481" i="2" s="1"/>
  <c r="J481" i="2"/>
  <c r="M480" i="2" a="1"/>
  <c r="M480" i="2" s="1"/>
  <c r="L480" i="2" a="1"/>
  <c r="L480" i="2" s="1"/>
  <c r="K480" i="2" a="1"/>
  <c r="K480" i="2" s="1"/>
  <c r="J480" i="2"/>
  <c r="M479" i="2" a="1"/>
  <c r="M479" i="2" s="1"/>
  <c r="L479" i="2" a="1"/>
  <c r="L479" i="2" s="1"/>
  <c r="K479" i="2" a="1"/>
  <c r="K479" i="2" s="1"/>
  <c r="J479" i="2"/>
  <c r="M478" i="2" a="1"/>
  <c r="M478" i="2" s="1"/>
  <c r="L478" i="2" a="1"/>
  <c r="L478" i="2" s="1"/>
  <c r="K478" i="2" a="1"/>
  <c r="K478" i="2" s="1"/>
  <c r="J478" i="2"/>
  <c r="M477" i="2" a="1"/>
  <c r="M477" i="2" s="1"/>
  <c r="L477" i="2" a="1"/>
  <c r="L477" i="2" s="1"/>
  <c r="K477" i="2" a="1"/>
  <c r="K477" i="2" s="1"/>
  <c r="J477" i="2"/>
  <c r="M476" i="2" a="1"/>
  <c r="M476" i="2" s="1"/>
  <c r="L476" i="2" a="1"/>
  <c r="L476" i="2" s="1"/>
  <c r="K476" i="2" a="1"/>
  <c r="K476" i="2" s="1"/>
  <c r="J476" i="2"/>
  <c r="M475" i="2" a="1"/>
  <c r="M475" i="2" s="1"/>
  <c r="L475" i="2" a="1"/>
  <c r="L475" i="2" s="1"/>
  <c r="K475" i="2" a="1"/>
  <c r="K475" i="2" s="1"/>
  <c r="J475" i="2"/>
  <c r="M474" i="2" a="1"/>
  <c r="M474" i="2" s="1"/>
  <c r="L474" i="2" a="1"/>
  <c r="L474" i="2" s="1"/>
  <c r="K474" i="2" a="1"/>
  <c r="K474" i="2" s="1"/>
  <c r="J474" i="2"/>
  <c r="M473" i="2" a="1"/>
  <c r="M473" i="2" s="1"/>
  <c r="L473" i="2" a="1"/>
  <c r="L473" i="2" s="1"/>
  <c r="K473" i="2" a="1"/>
  <c r="K473" i="2" s="1"/>
  <c r="J473" i="2"/>
  <c r="M472" i="2" a="1"/>
  <c r="M472" i="2" s="1"/>
  <c r="L472" i="2" a="1"/>
  <c r="L472" i="2" s="1"/>
  <c r="K472" i="2" a="1"/>
  <c r="K472" i="2" s="1"/>
  <c r="J472" i="2"/>
  <c r="M471" i="2" a="1"/>
  <c r="M471" i="2" s="1"/>
  <c r="L471" i="2" a="1"/>
  <c r="L471" i="2" s="1"/>
  <c r="K471" i="2" a="1"/>
  <c r="K471" i="2" s="1"/>
  <c r="J471" i="2"/>
  <c r="M470" i="2" a="1"/>
  <c r="M470" i="2" s="1"/>
  <c r="L470" i="2" a="1"/>
  <c r="L470" i="2" s="1"/>
  <c r="K470" i="2" a="1"/>
  <c r="K470" i="2" s="1"/>
  <c r="J470" i="2"/>
  <c r="M469" i="2" a="1"/>
  <c r="M469" i="2" s="1"/>
  <c r="L469" i="2" a="1"/>
  <c r="L469" i="2" s="1"/>
  <c r="K469" i="2" a="1"/>
  <c r="K469" i="2" s="1"/>
  <c r="J469" i="2"/>
  <c r="M468" i="2" a="1"/>
  <c r="M468" i="2" s="1"/>
  <c r="L468" i="2" a="1"/>
  <c r="L468" i="2" s="1"/>
  <c r="K468" i="2" a="1"/>
  <c r="K468" i="2" s="1"/>
  <c r="J468" i="2"/>
  <c r="M467" i="2" a="1"/>
  <c r="M467" i="2" s="1"/>
  <c r="L467" i="2" a="1"/>
  <c r="L467" i="2" s="1"/>
  <c r="K467" i="2" a="1"/>
  <c r="K467" i="2" s="1"/>
  <c r="J467" i="2"/>
  <c r="M466" i="2" a="1"/>
  <c r="M466" i="2" s="1"/>
  <c r="L466" i="2" a="1"/>
  <c r="L466" i="2" s="1"/>
  <c r="K466" i="2" a="1"/>
  <c r="K466" i="2" s="1"/>
  <c r="J466" i="2"/>
  <c r="M465" i="2" a="1"/>
  <c r="M465" i="2" s="1"/>
  <c r="L465" i="2" a="1"/>
  <c r="L465" i="2" s="1"/>
  <c r="K465" i="2" a="1"/>
  <c r="K465" i="2" s="1"/>
  <c r="J465" i="2"/>
  <c r="M464" i="2" a="1"/>
  <c r="M464" i="2" s="1"/>
  <c r="L464" i="2" a="1"/>
  <c r="L464" i="2" s="1"/>
  <c r="K464" i="2" a="1"/>
  <c r="K464" i="2" s="1"/>
  <c r="J464" i="2"/>
  <c r="M463" i="2" a="1"/>
  <c r="M463" i="2" s="1"/>
  <c r="L463" i="2" a="1"/>
  <c r="L463" i="2" s="1"/>
  <c r="K463" i="2" a="1"/>
  <c r="K463" i="2" s="1"/>
  <c r="J463" i="2"/>
  <c r="M462" i="2" a="1"/>
  <c r="M462" i="2" s="1"/>
  <c r="L462" i="2" a="1"/>
  <c r="L462" i="2" s="1"/>
  <c r="K462" i="2" a="1"/>
  <c r="K462" i="2" s="1"/>
  <c r="J462" i="2"/>
  <c r="M461" i="2" a="1"/>
  <c r="M461" i="2" s="1"/>
  <c r="L461" i="2" a="1"/>
  <c r="L461" i="2" s="1"/>
  <c r="K461" i="2" a="1"/>
  <c r="K461" i="2" s="1"/>
  <c r="J461" i="2"/>
  <c r="M460" i="2" a="1"/>
  <c r="M460" i="2" s="1"/>
  <c r="L460" i="2" a="1"/>
  <c r="L460" i="2" s="1"/>
  <c r="K460" i="2" a="1"/>
  <c r="K460" i="2" s="1"/>
  <c r="J460" i="2"/>
  <c r="M459" i="2" a="1"/>
  <c r="M459" i="2" s="1"/>
  <c r="L459" i="2" a="1"/>
  <c r="L459" i="2" s="1"/>
  <c r="K459" i="2" a="1"/>
  <c r="K459" i="2" s="1"/>
  <c r="J459" i="2"/>
  <c r="M458" i="2" a="1"/>
  <c r="M458" i="2" s="1"/>
  <c r="L458" i="2" a="1"/>
  <c r="L458" i="2" s="1"/>
  <c r="K458" i="2" a="1"/>
  <c r="K458" i="2" s="1"/>
  <c r="J458" i="2"/>
  <c r="M457" i="2" a="1"/>
  <c r="M457" i="2" s="1"/>
  <c r="L457" i="2" a="1"/>
  <c r="L457" i="2" s="1"/>
  <c r="K457" i="2" a="1"/>
  <c r="K457" i="2" s="1"/>
  <c r="J457" i="2"/>
  <c r="M456" i="2" a="1"/>
  <c r="M456" i="2" s="1"/>
  <c r="L456" i="2" a="1"/>
  <c r="L456" i="2" s="1"/>
  <c r="K456" i="2" a="1"/>
  <c r="K456" i="2" s="1"/>
  <c r="J456" i="2"/>
  <c r="M455" i="2" a="1"/>
  <c r="M455" i="2" s="1"/>
  <c r="L455" i="2" a="1"/>
  <c r="L455" i="2" s="1"/>
  <c r="K455" i="2" a="1"/>
  <c r="K455" i="2" s="1"/>
  <c r="J455" i="2"/>
  <c r="M454" i="2" a="1"/>
  <c r="M454" i="2" s="1"/>
  <c r="L454" i="2" a="1"/>
  <c r="L454" i="2" s="1"/>
  <c r="K454" i="2" a="1"/>
  <c r="K454" i="2" s="1"/>
  <c r="J454" i="2"/>
  <c r="M453" i="2" a="1"/>
  <c r="M453" i="2" s="1"/>
  <c r="L453" i="2" a="1"/>
  <c r="L453" i="2" s="1"/>
  <c r="K453" i="2" a="1"/>
  <c r="K453" i="2" s="1"/>
  <c r="J453" i="2"/>
  <c r="M452" i="2" a="1"/>
  <c r="M452" i="2" s="1"/>
  <c r="L452" i="2" a="1"/>
  <c r="L452" i="2" s="1"/>
  <c r="K452" i="2" a="1"/>
  <c r="K452" i="2" s="1"/>
  <c r="J452" i="2"/>
  <c r="M451" i="2" a="1"/>
  <c r="M451" i="2" s="1"/>
  <c r="L451" i="2" a="1"/>
  <c r="L451" i="2" s="1"/>
  <c r="K451" i="2" a="1"/>
  <c r="K451" i="2" s="1"/>
  <c r="J451" i="2"/>
  <c r="M450" i="2" a="1"/>
  <c r="M450" i="2" s="1"/>
  <c r="L450" i="2" a="1"/>
  <c r="L450" i="2" s="1"/>
  <c r="K450" i="2" a="1"/>
  <c r="K450" i="2" s="1"/>
  <c r="J450" i="2"/>
  <c r="M449" i="2"/>
  <c r="M449" i="2" a="1"/>
  <c r="L449" i="2" a="1"/>
  <c r="L449" i="2" s="1"/>
  <c r="K449" i="2" a="1"/>
  <c r="K449" i="2" s="1"/>
  <c r="J449" i="2"/>
  <c r="M448" i="2" a="1"/>
  <c r="M448" i="2" s="1"/>
  <c r="L448" i="2" a="1"/>
  <c r="L448" i="2" s="1"/>
  <c r="K448" i="2" a="1"/>
  <c r="K448" i="2" s="1"/>
  <c r="J448" i="2"/>
  <c r="M447" i="2" a="1"/>
  <c r="M447" i="2" s="1"/>
  <c r="L447" i="2" a="1"/>
  <c r="L447" i="2" s="1"/>
  <c r="K447" i="2" a="1"/>
  <c r="K447" i="2" s="1"/>
  <c r="J447" i="2"/>
  <c r="M446" i="2" a="1"/>
  <c r="M446" i="2" s="1"/>
  <c r="L446" i="2" a="1"/>
  <c r="L446" i="2" s="1"/>
  <c r="K446" i="2" a="1"/>
  <c r="K446" i="2" s="1"/>
  <c r="J446" i="2"/>
  <c r="M445" i="2" a="1"/>
  <c r="M445" i="2" s="1"/>
  <c r="L445" i="2" a="1"/>
  <c r="L445" i="2" s="1"/>
  <c r="K445" i="2" a="1"/>
  <c r="K445" i="2" s="1"/>
  <c r="J445" i="2"/>
  <c r="M444" i="2" a="1"/>
  <c r="M444" i="2" s="1"/>
  <c r="L444" i="2" a="1"/>
  <c r="L444" i="2" s="1"/>
  <c r="K444" i="2" a="1"/>
  <c r="K444" i="2" s="1"/>
  <c r="J444" i="2"/>
  <c r="M443" i="2" a="1"/>
  <c r="M443" i="2" s="1"/>
  <c r="L443" i="2" a="1"/>
  <c r="L443" i="2" s="1"/>
  <c r="K443" i="2" a="1"/>
  <c r="K443" i="2" s="1"/>
  <c r="J443" i="2"/>
  <c r="M442" i="2" a="1"/>
  <c r="M442" i="2" s="1"/>
  <c r="L442" i="2" a="1"/>
  <c r="L442" i="2" s="1"/>
  <c r="K442" i="2" a="1"/>
  <c r="K442" i="2" s="1"/>
  <c r="J442" i="2"/>
  <c r="M441" i="2" a="1"/>
  <c r="M441" i="2" s="1"/>
  <c r="L441" i="2" a="1"/>
  <c r="L441" i="2" s="1"/>
  <c r="K441" i="2" a="1"/>
  <c r="K441" i="2" s="1"/>
  <c r="J441" i="2"/>
  <c r="M440" i="2" a="1"/>
  <c r="M440" i="2" s="1"/>
  <c r="L440" i="2" a="1"/>
  <c r="L440" i="2" s="1"/>
  <c r="K440" i="2" a="1"/>
  <c r="K440" i="2" s="1"/>
  <c r="J440" i="2"/>
  <c r="M439" i="2" a="1"/>
  <c r="M439" i="2" s="1"/>
  <c r="L439" i="2" a="1"/>
  <c r="L439" i="2" s="1"/>
  <c r="K439" i="2" a="1"/>
  <c r="K439" i="2" s="1"/>
  <c r="J439" i="2"/>
  <c r="M438" i="2" a="1"/>
  <c r="M438" i="2" s="1"/>
  <c r="L438" i="2" a="1"/>
  <c r="L438" i="2" s="1"/>
  <c r="K438" i="2" a="1"/>
  <c r="K438" i="2" s="1"/>
  <c r="J438" i="2"/>
  <c r="M437" i="2" a="1"/>
  <c r="M437" i="2" s="1"/>
  <c r="L437" i="2" a="1"/>
  <c r="L437" i="2" s="1"/>
  <c r="K437" i="2" a="1"/>
  <c r="K437" i="2" s="1"/>
  <c r="J437" i="2"/>
  <c r="M436" i="2" a="1"/>
  <c r="M436" i="2" s="1"/>
  <c r="L436" i="2" a="1"/>
  <c r="L436" i="2" s="1"/>
  <c r="K436" i="2" a="1"/>
  <c r="K436" i="2" s="1"/>
  <c r="J436" i="2"/>
  <c r="M435" i="2" a="1"/>
  <c r="M435" i="2" s="1"/>
  <c r="L435" i="2" a="1"/>
  <c r="L435" i="2" s="1"/>
  <c r="K435" i="2" a="1"/>
  <c r="K435" i="2" s="1"/>
  <c r="J435" i="2"/>
  <c r="M434" i="2" a="1"/>
  <c r="M434" i="2" s="1"/>
  <c r="L434" i="2" a="1"/>
  <c r="L434" i="2" s="1"/>
  <c r="K434" i="2" a="1"/>
  <c r="K434" i="2" s="1"/>
  <c r="J434" i="2"/>
  <c r="M433" i="2" a="1"/>
  <c r="M433" i="2" s="1"/>
  <c r="L433" i="2" a="1"/>
  <c r="L433" i="2" s="1"/>
  <c r="K433" i="2" a="1"/>
  <c r="K433" i="2" s="1"/>
  <c r="J433" i="2"/>
  <c r="M432" i="2" a="1"/>
  <c r="M432" i="2" s="1"/>
  <c r="L432" i="2" a="1"/>
  <c r="L432" i="2" s="1"/>
  <c r="K432" i="2" a="1"/>
  <c r="K432" i="2" s="1"/>
  <c r="J432" i="2"/>
  <c r="M431" i="2" a="1"/>
  <c r="M431" i="2" s="1"/>
  <c r="L431" i="2" a="1"/>
  <c r="L431" i="2" s="1"/>
  <c r="K431" i="2" a="1"/>
  <c r="K431" i="2" s="1"/>
  <c r="J431" i="2"/>
  <c r="M430" i="2" a="1"/>
  <c r="M430" i="2" s="1"/>
  <c r="L430" i="2" a="1"/>
  <c r="L430" i="2" s="1"/>
  <c r="K430" i="2" a="1"/>
  <c r="K430" i="2" s="1"/>
  <c r="J430" i="2"/>
  <c r="M429" i="2" a="1"/>
  <c r="M429" i="2" s="1"/>
  <c r="L429" i="2" a="1"/>
  <c r="L429" i="2" s="1"/>
  <c r="K429" i="2" a="1"/>
  <c r="K429" i="2" s="1"/>
  <c r="J429" i="2"/>
  <c r="M428" i="2" a="1"/>
  <c r="M428" i="2" s="1"/>
  <c r="L428" i="2" a="1"/>
  <c r="L428" i="2" s="1"/>
  <c r="K428" i="2" a="1"/>
  <c r="K428" i="2" s="1"/>
  <c r="J428" i="2"/>
  <c r="M427" i="2" a="1"/>
  <c r="M427" i="2" s="1"/>
  <c r="L427" i="2" a="1"/>
  <c r="L427" i="2" s="1"/>
  <c r="K427" i="2" a="1"/>
  <c r="K427" i="2" s="1"/>
  <c r="J427" i="2"/>
  <c r="M426" i="2" a="1"/>
  <c r="M426" i="2" s="1"/>
  <c r="L426" i="2" a="1"/>
  <c r="L426" i="2" s="1"/>
  <c r="K426" i="2" a="1"/>
  <c r="K426" i="2" s="1"/>
  <c r="J426" i="2"/>
  <c r="M425" i="2" a="1"/>
  <c r="M425" i="2" s="1"/>
  <c r="L425" i="2" a="1"/>
  <c r="L425" i="2" s="1"/>
  <c r="K425" i="2" a="1"/>
  <c r="K425" i="2" s="1"/>
  <c r="J425" i="2"/>
  <c r="M424" i="2" a="1"/>
  <c r="M424" i="2" s="1"/>
  <c r="L424" i="2" a="1"/>
  <c r="L424" i="2" s="1"/>
  <c r="K424" i="2" a="1"/>
  <c r="K424" i="2" s="1"/>
  <c r="J424" i="2"/>
  <c r="M423" i="2" a="1"/>
  <c r="M423" i="2" s="1"/>
  <c r="L423" i="2" a="1"/>
  <c r="L423" i="2" s="1"/>
  <c r="K423" i="2" a="1"/>
  <c r="K423" i="2" s="1"/>
  <c r="J423" i="2"/>
  <c r="M422" i="2" a="1"/>
  <c r="M422" i="2" s="1"/>
  <c r="L422" i="2" a="1"/>
  <c r="L422" i="2" s="1"/>
  <c r="K422" i="2" a="1"/>
  <c r="K422" i="2" s="1"/>
  <c r="J422" i="2"/>
  <c r="M421" i="2" a="1"/>
  <c r="M421" i="2" s="1"/>
  <c r="L421" i="2" a="1"/>
  <c r="L421" i="2" s="1"/>
  <c r="K421" i="2" a="1"/>
  <c r="K421" i="2" s="1"/>
  <c r="J421" i="2"/>
  <c r="M420" i="2" a="1"/>
  <c r="M420" i="2" s="1"/>
  <c r="L420" i="2" a="1"/>
  <c r="L420" i="2" s="1"/>
  <c r="K420" i="2" a="1"/>
  <c r="K420" i="2" s="1"/>
  <c r="J420" i="2"/>
  <c r="M419" i="2" a="1"/>
  <c r="M419" i="2" s="1"/>
  <c r="L419" i="2" a="1"/>
  <c r="L419" i="2" s="1"/>
  <c r="K419" i="2" a="1"/>
  <c r="K419" i="2" s="1"/>
  <c r="J419" i="2"/>
  <c r="M418" i="2" a="1"/>
  <c r="M418" i="2" s="1"/>
  <c r="L418" i="2" a="1"/>
  <c r="L418" i="2" s="1"/>
  <c r="K418" i="2" a="1"/>
  <c r="K418" i="2" s="1"/>
  <c r="J418" i="2"/>
  <c r="M417" i="2" a="1"/>
  <c r="M417" i="2" s="1"/>
  <c r="L417" i="2" a="1"/>
  <c r="L417" i="2" s="1"/>
  <c r="K417" i="2" a="1"/>
  <c r="K417" i="2" s="1"/>
  <c r="J417" i="2"/>
  <c r="M416" i="2" a="1"/>
  <c r="M416" i="2" s="1"/>
  <c r="L416" i="2" a="1"/>
  <c r="L416" i="2" s="1"/>
  <c r="K416" i="2" a="1"/>
  <c r="K416" i="2" s="1"/>
  <c r="J416" i="2"/>
  <c r="M415" i="2"/>
  <c r="M415" i="2" a="1"/>
  <c r="L415" i="2" a="1"/>
  <c r="L415" i="2" s="1"/>
  <c r="K415" i="2" a="1"/>
  <c r="K415" i="2" s="1"/>
  <c r="J415" i="2"/>
  <c r="M414" i="2" a="1"/>
  <c r="M414" i="2" s="1"/>
  <c r="L414" i="2" a="1"/>
  <c r="L414" i="2" s="1"/>
  <c r="K414" i="2" a="1"/>
  <c r="K414" i="2" s="1"/>
  <c r="J414" i="2"/>
  <c r="M413" i="2" a="1"/>
  <c r="M413" i="2" s="1"/>
  <c r="L413" i="2" a="1"/>
  <c r="L413" i="2" s="1"/>
  <c r="K413" i="2" a="1"/>
  <c r="K413" i="2" s="1"/>
  <c r="J413" i="2"/>
  <c r="M412" i="2" a="1"/>
  <c r="M412" i="2" s="1"/>
  <c r="L412" i="2" a="1"/>
  <c r="L412" i="2" s="1"/>
  <c r="K412" i="2" a="1"/>
  <c r="K412" i="2" s="1"/>
  <c r="J412" i="2"/>
  <c r="M411" i="2" a="1"/>
  <c r="M411" i="2" s="1"/>
  <c r="L411" i="2" a="1"/>
  <c r="L411" i="2" s="1"/>
  <c r="K411" i="2" a="1"/>
  <c r="K411" i="2" s="1"/>
  <c r="J411" i="2"/>
  <c r="M410" i="2" a="1"/>
  <c r="M410" i="2" s="1"/>
  <c r="L410" i="2" a="1"/>
  <c r="L410" i="2" s="1"/>
  <c r="K410" i="2" a="1"/>
  <c r="K410" i="2" s="1"/>
  <c r="J410" i="2"/>
  <c r="M409" i="2" a="1"/>
  <c r="M409" i="2" s="1"/>
  <c r="L409" i="2" a="1"/>
  <c r="L409" i="2" s="1"/>
  <c r="K409" i="2" a="1"/>
  <c r="K409" i="2" s="1"/>
  <c r="J409" i="2"/>
  <c r="M408" i="2" a="1"/>
  <c r="M408" i="2" s="1"/>
  <c r="L408" i="2" a="1"/>
  <c r="L408" i="2" s="1"/>
  <c r="K408" i="2" a="1"/>
  <c r="K408" i="2" s="1"/>
  <c r="J408" i="2"/>
  <c r="M407" i="2" a="1"/>
  <c r="M407" i="2" s="1"/>
  <c r="L407" i="2" a="1"/>
  <c r="L407" i="2" s="1"/>
  <c r="K407" i="2" a="1"/>
  <c r="K407" i="2" s="1"/>
  <c r="J407" i="2"/>
  <c r="M406" i="2" a="1"/>
  <c r="M406" i="2" s="1"/>
  <c r="L406" i="2" a="1"/>
  <c r="L406" i="2" s="1"/>
  <c r="K406" i="2" a="1"/>
  <c r="K406" i="2" s="1"/>
  <c r="J406" i="2"/>
  <c r="M405" i="2" a="1"/>
  <c r="M405" i="2" s="1"/>
  <c r="L405" i="2" a="1"/>
  <c r="L405" i="2" s="1"/>
  <c r="K405" i="2" a="1"/>
  <c r="K405" i="2" s="1"/>
  <c r="J405" i="2"/>
  <c r="M404" i="2" a="1"/>
  <c r="M404" i="2" s="1"/>
  <c r="L404" i="2" a="1"/>
  <c r="L404" i="2" s="1"/>
  <c r="K404" i="2" a="1"/>
  <c r="K404" i="2" s="1"/>
  <c r="J404" i="2"/>
  <c r="M403" i="2" a="1"/>
  <c r="M403" i="2" s="1"/>
  <c r="L403" i="2" a="1"/>
  <c r="L403" i="2" s="1"/>
  <c r="K403" i="2" a="1"/>
  <c r="K403" i="2" s="1"/>
  <c r="J403" i="2"/>
  <c r="M402" i="2" a="1"/>
  <c r="M402" i="2" s="1"/>
  <c r="L402" i="2" a="1"/>
  <c r="L402" i="2" s="1"/>
  <c r="K402" i="2" a="1"/>
  <c r="K402" i="2" s="1"/>
  <c r="J402" i="2"/>
  <c r="M401" i="2" a="1"/>
  <c r="M401" i="2" s="1"/>
  <c r="L401" i="2" a="1"/>
  <c r="L401" i="2" s="1"/>
  <c r="K401" i="2" a="1"/>
  <c r="K401" i="2" s="1"/>
  <c r="J401" i="2"/>
  <c r="M400" i="2" a="1"/>
  <c r="M400" i="2" s="1"/>
  <c r="L400" i="2" a="1"/>
  <c r="L400" i="2" s="1"/>
  <c r="K400" i="2" a="1"/>
  <c r="K400" i="2" s="1"/>
  <c r="J400" i="2"/>
  <c r="M399" i="2" a="1"/>
  <c r="M399" i="2" s="1"/>
  <c r="L399" i="2" a="1"/>
  <c r="L399" i="2" s="1"/>
  <c r="K399" i="2" a="1"/>
  <c r="K399" i="2" s="1"/>
  <c r="J399" i="2"/>
  <c r="M398" i="2" a="1"/>
  <c r="M398" i="2" s="1"/>
  <c r="L398" i="2" a="1"/>
  <c r="L398" i="2" s="1"/>
  <c r="K398" i="2" a="1"/>
  <c r="K398" i="2" s="1"/>
  <c r="J398" i="2"/>
  <c r="M397" i="2" a="1"/>
  <c r="M397" i="2" s="1"/>
  <c r="L397" i="2" a="1"/>
  <c r="L397" i="2" s="1"/>
  <c r="K397" i="2" a="1"/>
  <c r="K397" i="2" s="1"/>
  <c r="J397" i="2"/>
  <c r="M396" i="2" a="1"/>
  <c r="M396" i="2" s="1"/>
  <c r="L396" i="2" a="1"/>
  <c r="L396" i="2" s="1"/>
  <c r="K396" i="2" a="1"/>
  <c r="K396" i="2" s="1"/>
  <c r="J396" i="2"/>
  <c r="M395" i="2"/>
  <c r="M395" i="2" a="1"/>
  <c r="L395" i="2" a="1"/>
  <c r="L395" i="2" s="1"/>
  <c r="K395" i="2" a="1"/>
  <c r="K395" i="2" s="1"/>
  <c r="J395" i="2"/>
  <c r="M394" i="2" a="1"/>
  <c r="M394" i="2" s="1"/>
  <c r="L394" i="2" a="1"/>
  <c r="L394" i="2" s="1"/>
  <c r="K394" i="2" a="1"/>
  <c r="K394" i="2" s="1"/>
  <c r="J394" i="2"/>
  <c r="M393" i="2" a="1"/>
  <c r="M393" i="2" s="1"/>
  <c r="L393" i="2" a="1"/>
  <c r="L393" i="2" s="1"/>
  <c r="K393" i="2" a="1"/>
  <c r="K393" i="2" s="1"/>
  <c r="J393" i="2"/>
  <c r="M392" i="2" a="1"/>
  <c r="M392" i="2" s="1"/>
  <c r="L392" i="2" a="1"/>
  <c r="L392" i="2" s="1"/>
  <c r="K392" i="2" a="1"/>
  <c r="K392" i="2" s="1"/>
  <c r="J392" i="2"/>
  <c r="M391" i="2" a="1"/>
  <c r="M391" i="2" s="1"/>
  <c r="L391" i="2" a="1"/>
  <c r="L391" i="2" s="1"/>
  <c r="K391" i="2" a="1"/>
  <c r="K391" i="2" s="1"/>
  <c r="J391" i="2"/>
  <c r="M390" i="2" a="1"/>
  <c r="M390" i="2" s="1"/>
  <c r="L390" i="2" a="1"/>
  <c r="L390" i="2" s="1"/>
  <c r="K390" i="2" a="1"/>
  <c r="K390" i="2" s="1"/>
  <c r="J390" i="2"/>
  <c r="M389" i="2" a="1"/>
  <c r="M389" i="2" s="1"/>
  <c r="L389" i="2" a="1"/>
  <c r="L389" i="2" s="1"/>
  <c r="K389" i="2" a="1"/>
  <c r="K389" i="2" s="1"/>
  <c r="J389" i="2"/>
  <c r="M388" i="2" a="1"/>
  <c r="M388" i="2" s="1"/>
  <c r="L388" i="2" a="1"/>
  <c r="L388" i="2" s="1"/>
  <c r="K388" i="2" a="1"/>
  <c r="K388" i="2" s="1"/>
  <c r="J388" i="2"/>
  <c r="M387" i="2" a="1"/>
  <c r="M387" i="2" s="1"/>
  <c r="L387" i="2" a="1"/>
  <c r="L387" i="2" s="1"/>
  <c r="K387" i="2" a="1"/>
  <c r="K387" i="2" s="1"/>
  <c r="J387" i="2"/>
  <c r="M386" i="2" a="1"/>
  <c r="M386" i="2" s="1"/>
  <c r="L386" i="2" a="1"/>
  <c r="L386" i="2" s="1"/>
  <c r="K386" i="2" a="1"/>
  <c r="K386" i="2" s="1"/>
  <c r="J386" i="2"/>
  <c r="M385" i="2" a="1"/>
  <c r="M385" i="2" s="1"/>
  <c r="L385" i="2" a="1"/>
  <c r="L385" i="2" s="1"/>
  <c r="K385" i="2" a="1"/>
  <c r="K385" i="2" s="1"/>
  <c r="J385" i="2"/>
  <c r="M384" i="2" a="1"/>
  <c r="M384" i="2" s="1"/>
  <c r="L384" i="2" a="1"/>
  <c r="L384" i="2" s="1"/>
  <c r="K384" i="2" a="1"/>
  <c r="K384" i="2" s="1"/>
  <c r="J384" i="2"/>
  <c r="M383" i="2" a="1"/>
  <c r="M383" i="2" s="1"/>
  <c r="L383" i="2" a="1"/>
  <c r="L383" i="2" s="1"/>
  <c r="K383" i="2" a="1"/>
  <c r="K383" i="2" s="1"/>
  <c r="J383" i="2"/>
  <c r="M382" i="2" a="1"/>
  <c r="M382" i="2" s="1"/>
  <c r="L382" i="2" a="1"/>
  <c r="L382" i="2" s="1"/>
  <c r="K382" i="2" a="1"/>
  <c r="K382" i="2" s="1"/>
  <c r="J382" i="2"/>
  <c r="M381" i="2" a="1"/>
  <c r="M381" i="2" s="1"/>
  <c r="L381" i="2" a="1"/>
  <c r="L381" i="2" s="1"/>
  <c r="K381" i="2" a="1"/>
  <c r="K381" i="2" s="1"/>
  <c r="J381" i="2"/>
  <c r="M380" i="2" a="1"/>
  <c r="M380" i="2" s="1"/>
  <c r="L380" i="2" a="1"/>
  <c r="L380" i="2" s="1"/>
  <c r="K380" i="2" a="1"/>
  <c r="K380" i="2" s="1"/>
  <c r="J380" i="2"/>
  <c r="M379" i="2" a="1"/>
  <c r="M379" i="2" s="1"/>
  <c r="L379" i="2" a="1"/>
  <c r="L379" i="2" s="1"/>
  <c r="K379" i="2" a="1"/>
  <c r="K379" i="2" s="1"/>
  <c r="J379" i="2"/>
  <c r="M378" i="2" a="1"/>
  <c r="M378" i="2" s="1"/>
  <c r="L378" i="2" a="1"/>
  <c r="L378" i="2" s="1"/>
  <c r="K378" i="2" a="1"/>
  <c r="K378" i="2" s="1"/>
  <c r="J378" i="2"/>
  <c r="M377" i="2" a="1"/>
  <c r="M377" i="2" s="1"/>
  <c r="L377" i="2" a="1"/>
  <c r="L377" i="2" s="1"/>
  <c r="K377" i="2" a="1"/>
  <c r="K377" i="2" s="1"/>
  <c r="J377" i="2"/>
  <c r="M376" i="2" a="1"/>
  <c r="M376" i="2" s="1"/>
  <c r="L376" i="2" a="1"/>
  <c r="L376" i="2" s="1"/>
  <c r="K376" i="2" a="1"/>
  <c r="K376" i="2" s="1"/>
  <c r="J376" i="2"/>
  <c r="M375" i="2" a="1"/>
  <c r="M375" i="2" s="1"/>
  <c r="L375" i="2" a="1"/>
  <c r="L375" i="2" s="1"/>
  <c r="K375" i="2" a="1"/>
  <c r="K375" i="2" s="1"/>
  <c r="J375" i="2"/>
  <c r="M374" i="2" a="1"/>
  <c r="M374" i="2" s="1"/>
  <c r="L374" i="2" a="1"/>
  <c r="L374" i="2" s="1"/>
  <c r="K374" i="2" a="1"/>
  <c r="K374" i="2" s="1"/>
  <c r="J374" i="2"/>
  <c r="M373" i="2" a="1"/>
  <c r="M373" i="2" s="1"/>
  <c r="L373" i="2" a="1"/>
  <c r="L373" i="2" s="1"/>
  <c r="K373" i="2" a="1"/>
  <c r="K373" i="2" s="1"/>
  <c r="J373" i="2"/>
  <c r="M372" i="2" a="1"/>
  <c r="M372" i="2" s="1"/>
  <c r="L372" i="2" a="1"/>
  <c r="L372" i="2" s="1"/>
  <c r="K372" i="2" a="1"/>
  <c r="K372" i="2" s="1"/>
  <c r="J372" i="2"/>
  <c r="M371" i="2" a="1"/>
  <c r="M371" i="2" s="1"/>
  <c r="L371" i="2" a="1"/>
  <c r="L371" i="2" s="1"/>
  <c r="K371" i="2" a="1"/>
  <c r="K371" i="2" s="1"/>
  <c r="J371" i="2"/>
  <c r="M370" i="2" a="1"/>
  <c r="M370" i="2" s="1"/>
  <c r="L370" i="2" a="1"/>
  <c r="L370" i="2" s="1"/>
  <c r="K370" i="2" a="1"/>
  <c r="K370" i="2" s="1"/>
  <c r="J370" i="2"/>
  <c r="M369" i="2" a="1"/>
  <c r="M369" i="2" s="1"/>
  <c r="L369" i="2" a="1"/>
  <c r="L369" i="2" s="1"/>
  <c r="K369" i="2" a="1"/>
  <c r="K369" i="2" s="1"/>
  <c r="J369" i="2"/>
  <c r="M368" i="2" a="1"/>
  <c r="M368" i="2" s="1"/>
  <c r="L368" i="2" a="1"/>
  <c r="L368" i="2" s="1"/>
  <c r="K368" i="2" a="1"/>
  <c r="K368" i="2" s="1"/>
  <c r="J368" i="2"/>
  <c r="M367" i="2" a="1"/>
  <c r="M367" i="2" s="1"/>
  <c r="L367" i="2" a="1"/>
  <c r="L367" i="2" s="1"/>
  <c r="K367" i="2" a="1"/>
  <c r="K367" i="2" s="1"/>
  <c r="J367" i="2"/>
  <c r="M366" i="2" a="1"/>
  <c r="M366" i="2" s="1"/>
  <c r="L366" i="2" a="1"/>
  <c r="L366" i="2" s="1"/>
  <c r="K366" i="2" a="1"/>
  <c r="K366" i="2" s="1"/>
  <c r="J366" i="2"/>
  <c r="M365" i="2" a="1"/>
  <c r="M365" i="2" s="1"/>
  <c r="L365" i="2" a="1"/>
  <c r="L365" i="2" s="1"/>
  <c r="K365" i="2" a="1"/>
  <c r="K365" i="2" s="1"/>
  <c r="J365" i="2"/>
  <c r="M364" i="2" a="1"/>
  <c r="M364" i="2" s="1"/>
  <c r="L364" i="2" a="1"/>
  <c r="L364" i="2" s="1"/>
  <c r="K364" i="2" a="1"/>
  <c r="K364" i="2" s="1"/>
  <c r="J364" i="2"/>
  <c r="M363" i="2" a="1"/>
  <c r="M363" i="2" s="1"/>
  <c r="L363" i="2" a="1"/>
  <c r="L363" i="2" s="1"/>
  <c r="K363" i="2" a="1"/>
  <c r="K363" i="2" s="1"/>
  <c r="J363" i="2"/>
  <c r="M362" i="2" a="1"/>
  <c r="M362" i="2" s="1"/>
  <c r="L362" i="2" a="1"/>
  <c r="L362" i="2" s="1"/>
  <c r="K362" i="2" a="1"/>
  <c r="K362" i="2" s="1"/>
  <c r="J362" i="2"/>
  <c r="M361" i="2" a="1"/>
  <c r="M361" i="2" s="1"/>
  <c r="L361" i="2" a="1"/>
  <c r="L361" i="2" s="1"/>
  <c r="K361" i="2" a="1"/>
  <c r="K361" i="2" s="1"/>
  <c r="J361" i="2"/>
  <c r="M360" i="2" a="1"/>
  <c r="M360" i="2" s="1"/>
  <c r="L360" i="2" a="1"/>
  <c r="L360" i="2" s="1"/>
  <c r="K360" i="2" a="1"/>
  <c r="K360" i="2" s="1"/>
  <c r="J360" i="2"/>
  <c r="M359" i="2" a="1"/>
  <c r="M359" i="2" s="1"/>
  <c r="L359" i="2" a="1"/>
  <c r="L359" i="2" s="1"/>
  <c r="K359" i="2" a="1"/>
  <c r="K359" i="2" s="1"/>
  <c r="J359" i="2"/>
  <c r="M358" i="2" a="1"/>
  <c r="M358" i="2" s="1"/>
  <c r="L358" i="2" a="1"/>
  <c r="L358" i="2" s="1"/>
  <c r="K358" i="2" a="1"/>
  <c r="K358" i="2" s="1"/>
  <c r="J358" i="2"/>
  <c r="M357" i="2" a="1"/>
  <c r="M357" i="2" s="1"/>
  <c r="L357" i="2" a="1"/>
  <c r="L357" i="2" s="1"/>
  <c r="K357" i="2" a="1"/>
  <c r="K357" i="2" s="1"/>
  <c r="J357" i="2"/>
  <c r="M356" i="2" a="1"/>
  <c r="M356" i="2" s="1"/>
  <c r="L356" i="2" a="1"/>
  <c r="L356" i="2" s="1"/>
  <c r="K356" i="2" a="1"/>
  <c r="K356" i="2" s="1"/>
  <c r="J356" i="2"/>
  <c r="M355" i="2" a="1"/>
  <c r="M355" i="2" s="1"/>
  <c r="L355" i="2" a="1"/>
  <c r="L355" i="2" s="1"/>
  <c r="K355" i="2" a="1"/>
  <c r="K355" i="2" s="1"/>
  <c r="J355" i="2"/>
  <c r="M354" i="2" a="1"/>
  <c r="M354" i="2" s="1"/>
  <c r="L354" i="2" a="1"/>
  <c r="L354" i="2" s="1"/>
  <c r="K354" i="2" a="1"/>
  <c r="K354" i="2" s="1"/>
  <c r="J354" i="2"/>
  <c r="M353" i="2" a="1"/>
  <c r="M353" i="2" s="1"/>
  <c r="L353" i="2" a="1"/>
  <c r="L353" i="2" s="1"/>
  <c r="K353" i="2" a="1"/>
  <c r="K353" i="2" s="1"/>
  <c r="J353" i="2"/>
  <c r="M352" i="2" a="1"/>
  <c r="M352" i="2" s="1"/>
  <c r="L352" i="2" a="1"/>
  <c r="L352" i="2" s="1"/>
  <c r="K352" i="2" a="1"/>
  <c r="K352" i="2" s="1"/>
  <c r="J352" i="2"/>
  <c r="M351" i="2"/>
  <c r="M351" i="2" a="1"/>
  <c r="L351" i="2" a="1"/>
  <c r="L351" i="2" s="1"/>
  <c r="K351" i="2" a="1"/>
  <c r="K351" i="2" s="1"/>
  <c r="J351" i="2"/>
  <c r="M350" i="2" a="1"/>
  <c r="M350" i="2" s="1"/>
  <c r="L350" i="2" a="1"/>
  <c r="L350" i="2" s="1"/>
  <c r="K350" i="2" a="1"/>
  <c r="K350" i="2" s="1"/>
  <c r="J350" i="2"/>
  <c r="M349" i="2" a="1"/>
  <c r="M349" i="2" s="1"/>
  <c r="L349" i="2" a="1"/>
  <c r="L349" i="2" s="1"/>
  <c r="K349" i="2" a="1"/>
  <c r="K349" i="2" s="1"/>
  <c r="J349" i="2"/>
  <c r="M348" i="2" a="1"/>
  <c r="M348" i="2" s="1"/>
  <c r="L348" i="2" a="1"/>
  <c r="L348" i="2" s="1"/>
  <c r="K348" i="2" a="1"/>
  <c r="K348" i="2" s="1"/>
  <c r="J348" i="2"/>
  <c r="M347" i="2" a="1"/>
  <c r="M347" i="2" s="1"/>
  <c r="L347" i="2" a="1"/>
  <c r="L347" i="2" s="1"/>
  <c r="K347" i="2" a="1"/>
  <c r="K347" i="2" s="1"/>
  <c r="J347" i="2"/>
  <c r="M346" i="2" a="1"/>
  <c r="M346" i="2" s="1"/>
  <c r="L346" i="2" a="1"/>
  <c r="L346" i="2" s="1"/>
  <c r="K346" i="2" a="1"/>
  <c r="K346" i="2" s="1"/>
  <c r="J346" i="2"/>
  <c r="M345" i="2" a="1"/>
  <c r="M345" i="2" s="1"/>
  <c r="L345" i="2" a="1"/>
  <c r="L345" i="2" s="1"/>
  <c r="K345" i="2" a="1"/>
  <c r="K345" i="2" s="1"/>
  <c r="J345" i="2"/>
  <c r="M344" i="2" a="1"/>
  <c r="M344" i="2" s="1"/>
  <c r="L344" i="2" a="1"/>
  <c r="L344" i="2" s="1"/>
  <c r="K344" i="2" a="1"/>
  <c r="K344" i="2" s="1"/>
  <c r="J344" i="2"/>
  <c r="M343" i="2" a="1"/>
  <c r="M343" i="2" s="1"/>
  <c r="L343" i="2" a="1"/>
  <c r="L343" i="2" s="1"/>
  <c r="K343" i="2" a="1"/>
  <c r="K343" i="2" s="1"/>
  <c r="J343" i="2"/>
  <c r="M342" i="2" a="1"/>
  <c r="M342" i="2" s="1"/>
  <c r="L342" i="2" a="1"/>
  <c r="L342" i="2" s="1"/>
  <c r="K342" i="2" a="1"/>
  <c r="K342" i="2" s="1"/>
  <c r="J342" i="2"/>
  <c r="M341" i="2" a="1"/>
  <c r="M341" i="2" s="1"/>
  <c r="L341" i="2" a="1"/>
  <c r="L341" i="2" s="1"/>
  <c r="K341" i="2" a="1"/>
  <c r="K341" i="2" s="1"/>
  <c r="J341" i="2"/>
  <c r="M340" i="2" a="1"/>
  <c r="M340" i="2" s="1"/>
  <c r="L340" i="2" a="1"/>
  <c r="L340" i="2" s="1"/>
  <c r="K340" i="2" a="1"/>
  <c r="K340" i="2" s="1"/>
  <c r="J340" i="2"/>
  <c r="M339" i="2" a="1"/>
  <c r="M339" i="2" s="1"/>
  <c r="L339" i="2" a="1"/>
  <c r="L339" i="2" s="1"/>
  <c r="K339" i="2" a="1"/>
  <c r="K339" i="2" s="1"/>
  <c r="J339" i="2"/>
  <c r="M338" i="2" a="1"/>
  <c r="M338" i="2" s="1"/>
  <c r="L338" i="2" a="1"/>
  <c r="L338" i="2" s="1"/>
  <c r="K338" i="2" a="1"/>
  <c r="K338" i="2" s="1"/>
  <c r="J338" i="2"/>
  <c r="M337" i="2" a="1"/>
  <c r="M337" i="2" s="1"/>
  <c r="L337" i="2" a="1"/>
  <c r="L337" i="2" s="1"/>
  <c r="K337" i="2" a="1"/>
  <c r="K337" i="2" s="1"/>
  <c r="J337" i="2"/>
  <c r="M336" i="2" a="1"/>
  <c r="M336" i="2" s="1"/>
  <c r="L336" i="2" a="1"/>
  <c r="L336" i="2" s="1"/>
  <c r="K336" i="2" a="1"/>
  <c r="K336" i="2" s="1"/>
  <c r="J336" i="2"/>
  <c r="M335" i="2" a="1"/>
  <c r="M335" i="2" s="1"/>
  <c r="L335" i="2" a="1"/>
  <c r="L335" i="2" s="1"/>
  <c r="K335" i="2" a="1"/>
  <c r="K335" i="2" s="1"/>
  <c r="J335" i="2"/>
  <c r="M334" i="2" a="1"/>
  <c r="M334" i="2" s="1"/>
  <c r="L334" i="2" a="1"/>
  <c r="L334" i="2" s="1"/>
  <c r="K334" i="2" a="1"/>
  <c r="K334" i="2" s="1"/>
  <c r="J334" i="2"/>
  <c r="M333" i="2" a="1"/>
  <c r="M333" i="2" s="1"/>
  <c r="L333" i="2" a="1"/>
  <c r="L333" i="2" s="1"/>
  <c r="K333" i="2" a="1"/>
  <c r="K333" i="2" s="1"/>
  <c r="J333" i="2"/>
  <c r="M332" i="2" a="1"/>
  <c r="M332" i="2" s="1"/>
  <c r="L332" i="2" a="1"/>
  <c r="L332" i="2" s="1"/>
  <c r="K332" i="2" a="1"/>
  <c r="K332" i="2" s="1"/>
  <c r="J332" i="2"/>
  <c r="M331" i="2" a="1"/>
  <c r="M331" i="2" s="1"/>
  <c r="L331" i="2" a="1"/>
  <c r="L331" i="2" s="1"/>
  <c r="K331" i="2" a="1"/>
  <c r="K331" i="2" s="1"/>
  <c r="J331" i="2"/>
  <c r="M330" i="2" a="1"/>
  <c r="M330" i="2" s="1"/>
  <c r="L330" i="2" a="1"/>
  <c r="L330" i="2" s="1"/>
  <c r="K330" i="2" a="1"/>
  <c r="K330" i="2" s="1"/>
  <c r="J330" i="2"/>
  <c r="M329" i="2" a="1"/>
  <c r="M329" i="2" s="1"/>
  <c r="L329" i="2" a="1"/>
  <c r="L329" i="2" s="1"/>
  <c r="K329" i="2" a="1"/>
  <c r="K329" i="2" s="1"/>
  <c r="J329" i="2"/>
  <c r="M328" i="2" a="1"/>
  <c r="M328" i="2" s="1"/>
  <c r="L328" i="2" a="1"/>
  <c r="L328" i="2" s="1"/>
  <c r="K328" i="2" a="1"/>
  <c r="K328" i="2" s="1"/>
  <c r="J328" i="2"/>
  <c r="M327" i="2" a="1"/>
  <c r="M327" i="2" s="1"/>
  <c r="L327" i="2" a="1"/>
  <c r="L327" i="2" s="1"/>
  <c r="K327" i="2" a="1"/>
  <c r="K327" i="2" s="1"/>
  <c r="J327" i="2"/>
  <c r="M326" i="2" a="1"/>
  <c r="M326" i="2" s="1"/>
  <c r="L326" i="2" a="1"/>
  <c r="L326" i="2" s="1"/>
  <c r="K326" i="2"/>
  <c r="K326" i="2" a="1"/>
  <c r="J326" i="2"/>
  <c r="M325" i="2" a="1"/>
  <c r="M325" i="2" s="1"/>
  <c r="L325" i="2" a="1"/>
  <c r="L325" i="2" s="1"/>
  <c r="K325" i="2" a="1"/>
  <c r="K325" i="2" s="1"/>
  <c r="J325" i="2"/>
  <c r="M324" i="2" a="1"/>
  <c r="M324" i="2" s="1"/>
  <c r="L324" i="2" a="1"/>
  <c r="L324" i="2" s="1"/>
  <c r="K324" i="2" a="1"/>
  <c r="K324" i="2" s="1"/>
  <c r="J324" i="2"/>
  <c r="M323" i="2"/>
  <c r="M323" i="2" a="1"/>
  <c r="L323" i="2" a="1"/>
  <c r="L323" i="2" s="1"/>
  <c r="K323" i="2" a="1"/>
  <c r="K323" i="2" s="1"/>
  <c r="J323" i="2"/>
  <c r="M322" i="2" a="1"/>
  <c r="M322" i="2" s="1"/>
  <c r="L322" i="2" a="1"/>
  <c r="L322" i="2" s="1"/>
  <c r="K322" i="2" a="1"/>
  <c r="K322" i="2" s="1"/>
  <c r="J322" i="2"/>
  <c r="M321" i="2" a="1"/>
  <c r="M321" i="2" s="1"/>
  <c r="L321" i="2" a="1"/>
  <c r="L321" i="2" s="1"/>
  <c r="K321" i="2" a="1"/>
  <c r="K321" i="2" s="1"/>
  <c r="J321" i="2"/>
  <c r="M320" i="2" a="1"/>
  <c r="M320" i="2" s="1"/>
  <c r="L320" i="2" a="1"/>
  <c r="L320" i="2" s="1"/>
  <c r="K320" i="2" a="1"/>
  <c r="K320" i="2" s="1"/>
  <c r="J320" i="2"/>
  <c r="M319" i="2"/>
  <c r="M319" i="2" a="1"/>
  <c r="L319" i="2" a="1"/>
  <c r="L319" i="2" s="1"/>
  <c r="K319" i="2" a="1"/>
  <c r="K319" i="2" s="1"/>
  <c r="J319" i="2"/>
  <c r="M318" i="2" a="1"/>
  <c r="M318" i="2" s="1"/>
  <c r="L318" i="2" a="1"/>
  <c r="L318" i="2" s="1"/>
  <c r="K318" i="2"/>
  <c r="K318" i="2" a="1"/>
  <c r="J318" i="2"/>
  <c r="M317" i="2" a="1"/>
  <c r="M317" i="2" s="1"/>
  <c r="L317" i="2" a="1"/>
  <c r="L317" i="2" s="1"/>
  <c r="K317" i="2" a="1"/>
  <c r="K317" i="2" s="1"/>
  <c r="J317" i="2"/>
  <c r="M316" i="2" a="1"/>
  <c r="M316" i="2" s="1"/>
  <c r="L316" i="2" a="1"/>
  <c r="L316" i="2" s="1"/>
  <c r="K316" i="2" a="1"/>
  <c r="K316" i="2" s="1"/>
  <c r="J316" i="2"/>
  <c r="M315" i="2" a="1"/>
  <c r="M315" i="2" s="1"/>
  <c r="L315" i="2" a="1"/>
  <c r="L315" i="2" s="1"/>
  <c r="K315" i="2" a="1"/>
  <c r="K315" i="2" s="1"/>
  <c r="J315" i="2"/>
  <c r="M314" i="2" a="1"/>
  <c r="M314" i="2" s="1"/>
  <c r="L314" i="2" a="1"/>
  <c r="L314" i="2" s="1"/>
  <c r="K314" i="2" a="1"/>
  <c r="K314" i="2" s="1"/>
  <c r="J314" i="2"/>
  <c r="M313" i="2" a="1"/>
  <c r="M313" i="2" s="1"/>
  <c r="L313" i="2" a="1"/>
  <c r="L313" i="2" s="1"/>
  <c r="K313" i="2" a="1"/>
  <c r="K313" i="2" s="1"/>
  <c r="J313" i="2"/>
  <c r="M312" i="2" a="1"/>
  <c r="M312" i="2" s="1"/>
  <c r="L312" i="2" a="1"/>
  <c r="L312" i="2" s="1"/>
  <c r="K312" i="2" a="1"/>
  <c r="K312" i="2" s="1"/>
  <c r="J312" i="2"/>
  <c r="M311" i="2" a="1"/>
  <c r="M311" i="2" s="1"/>
  <c r="L311" i="2" a="1"/>
  <c r="L311" i="2" s="1"/>
  <c r="K311" i="2" a="1"/>
  <c r="K311" i="2" s="1"/>
  <c r="J311" i="2"/>
  <c r="M310" i="2" a="1"/>
  <c r="M310" i="2" s="1"/>
  <c r="L310" i="2" a="1"/>
  <c r="L310" i="2" s="1"/>
  <c r="K310" i="2" a="1"/>
  <c r="K310" i="2" s="1"/>
  <c r="J310" i="2"/>
  <c r="M309" i="2"/>
  <c r="M309" i="2" a="1"/>
  <c r="L309" i="2" a="1"/>
  <c r="L309" i="2" s="1"/>
  <c r="K309" i="2" a="1"/>
  <c r="K309" i="2" s="1"/>
  <c r="J309" i="2"/>
  <c r="M308" i="2" a="1"/>
  <c r="M308" i="2" s="1"/>
  <c r="L308" i="2" a="1"/>
  <c r="L308" i="2" s="1"/>
  <c r="K308" i="2" a="1"/>
  <c r="K308" i="2" s="1"/>
  <c r="J308" i="2"/>
  <c r="M307" i="2" a="1"/>
  <c r="M307" i="2" s="1"/>
  <c r="L307" i="2" a="1"/>
  <c r="L307" i="2" s="1"/>
  <c r="K307" i="2" a="1"/>
  <c r="K307" i="2" s="1"/>
  <c r="J307" i="2"/>
  <c r="M306" i="2" a="1"/>
  <c r="M306" i="2" s="1"/>
  <c r="L306" i="2" a="1"/>
  <c r="L306" i="2" s="1"/>
  <c r="K306" i="2" a="1"/>
  <c r="K306" i="2" s="1"/>
  <c r="J306" i="2"/>
  <c r="M305" i="2" a="1"/>
  <c r="M305" i="2" s="1"/>
  <c r="L305" i="2" a="1"/>
  <c r="L305" i="2" s="1"/>
  <c r="K305" i="2" a="1"/>
  <c r="K305" i="2" s="1"/>
  <c r="J305" i="2"/>
  <c r="M304" i="2" a="1"/>
  <c r="M304" i="2" s="1"/>
  <c r="L304" i="2" a="1"/>
  <c r="L304" i="2" s="1"/>
  <c r="K304" i="2" a="1"/>
  <c r="K304" i="2" s="1"/>
  <c r="J304" i="2"/>
  <c r="M303" i="2" a="1"/>
  <c r="M303" i="2" s="1"/>
  <c r="L303" i="2" a="1"/>
  <c r="L303" i="2" s="1"/>
  <c r="K303" i="2" a="1"/>
  <c r="K303" i="2" s="1"/>
  <c r="J303" i="2"/>
  <c r="M302" i="2" a="1"/>
  <c r="M302" i="2" s="1"/>
  <c r="L302" i="2" a="1"/>
  <c r="L302" i="2" s="1"/>
  <c r="K302" i="2" a="1"/>
  <c r="K302" i="2" s="1"/>
  <c r="J302" i="2"/>
  <c r="M301" i="2" a="1"/>
  <c r="M301" i="2" s="1"/>
  <c r="L301" i="2" a="1"/>
  <c r="L301" i="2" s="1"/>
  <c r="K301" i="2" a="1"/>
  <c r="K301" i="2" s="1"/>
  <c r="J301" i="2"/>
  <c r="M300" i="2" a="1"/>
  <c r="M300" i="2" s="1"/>
  <c r="L300" i="2" a="1"/>
  <c r="L300" i="2" s="1"/>
  <c r="K300" i="2" a="1"/>
  <c r="K300" i="2" s="1"/>
  <c r="J300" i="2"/>
  <c r="M299" i="2" a="1"/>
  <c r="M299" i="2" s="1"/>
  <c r="L299" i="2" a="1"/>
  <c r="L299" i="2" s="1"/>
  <c r="K299" i="2" a="1"/>
  <c r="K299" i="2" s="1"/>
  <c r="J299" i="2"/>
  <c r="M298" i="2" a="1"/>
  <c r="M298" i="2" s="1"/>
  <c r="L298" i="2" a="1"/>
  <c r="L298" i="2" s="1"/>
  <c r="K298" i="2" a="1"/>
  <c r="K298" i="2" s="1"/>
  <c r="J298" i="2"/>
  <c r="M297" i="2" a="1"/>
  <c r="M297" i="2" s="1"/>
  <c r="L297" i="2" a="1"/>
  <c r="L297" i="2" s="1"/>
  <c r="K297" i="2" a="1"/>
  <c r="K297" i="2" s="1"/>
  <c r="J297" i="2"/>
  <c r="M296" i="2" a="1"/>
  <c r="M296" i="2" s="1"/>
  <c r="L296" i="2" a="1"/>
  <c r="L296" i="2" s="1"/>
  <c r="K296" i="2" a="1"/>
  <c r="K296" i="2" s="1"/>
  <c r="J296" i="2"/>
  <c r="M295" i="2" a="1"/>
  <c r="M295" i="2" s="1"/>
  <c r="L295" i="2" a="1"/>
  <c r="L295" i="2" s="1"/>
  <c r="K295" i="2" a="1"/>
  <c r="K295" i="2" s="1"/>
  <c r="J295" i="2"/>
  <c r="M294" i="2" a="1"/>
  <c r="M294" i="2" s="1"/>
  <c r="L294" i="2" a="1"/>
  <c r="L294" i="2" s="1"/>
  <c r="K294" i="2" a="1"/>
  <c r="K294" i="2" s="1"/>
  <c r="J294" i="2"/>
  <c r="M293" i="2" a="1"/>
  <c r="M293" i="2" s="1"/>
  <c r="L293" i="2" a="1"/>
  <c r="L293" i="2" s="1"/>
  <c r="K293" i="2" a="1"/>
  <c r="K293" i="2" s="1"/>
  <c r="J293" i="2"/>
  <c r="M292" i="2" a="1"/>
  <c r="M292" i="2" s="1"/>
  <c r="L292" i="2" a="1"/>
  <c r="L292" i="2" s="1"/>
  <c r="K292" i="2" a="1"/>
  <c r="K292" i="2" s="1"/>
  <c r="J292" i="2"/>
  <c r="M291" i="2" a="1"/>
  <c r="M291" i="2" s="1"/>
  <c r="L291" i="2" a="1"/>
  <c r="L291" i="2" s="1"/>
  <c r="K291" i="2" a="1"/>
  <c r="K291" i="2" s="1"/>
  <c r="J291" i="2"/>
  <c r="M290" i="2" a="1"/>
  <c r="M290" i="2" s="1"/>
  <c r="L290" i="2" a="1"/>
  <c r="L290" i="2" s="1"/>
  <c r="K290" i="2" a="1"/>
  <c r="K290" i="2" s="1"/>
  <c r="J290" i="2"/>
  <c r="M289" i="2" a="1"/>
  <c r="M289" i="2" s="1"/>
  <c r="L289" i="2" a="1"/>
  <c r="L289" i="2" s="1"/>
  <c r="K289" i="2" a="1"/>
  <c r="K289" i="2" s="1"/>
  <c r="J289" i="2"/>
  <c r="M288" i="2" a="1"/>
  <c r="M288" i="2" s="1"/>
  <c r="L288" i="2" a="1"/>
  <c r="L288" i="2" s="1"/>
  <c r="K288" i="2" a="1"/>
  <c r="K288" i="2" s="1"/>
  <c r="J288" i="2"/>
  <c r="M287" i="2" a="1"/>
  <c r="M287" i="2" s="1"/>
  <c r="L287" i="2" a="1"/>
  <c r="L287" i="2" s="1"/>
  <c r="K287" i="2" a="1"/>
  <c r="K287" i="2" s="1"/>
  <c r="J287" i="2"/>
  <c r="M286" i="2" a="1"/>
  <c r="M286" i="2" s="1"/>
  <c r="L286" i="2" a="1"/>
  <c r="L286" i="2" s="1"/>
  <c r="K286" i="2" a="1"/>
  <c r="K286" i="2" s="1"/>
  <c r="J286" i="2"/>
  <c r="M285" i="2" a="1"/>
  <c r="M285" i="2" s="1"/>
  <c r="L285" i="2" a="1"/>
  <c r="L285" i="2" s="1"/>
  <c r="K285" i="2" a="1"/>
  <c r="K285" i="2" s="1"/>
  <c r="J285" i="2"/>
  <c r="M284" i="2" a="1"/>
  <c r="M284" i="2" s="1"/>
  <c r="L284" i="2" a="1"/>
  <c r="L284" i="2" s="1"/>
  <c r="K284" i="2" a="1"/>
  <c r="K284" i="2" s="1"/>
  <c r="J284" i="2"/>
  <c r="M283" i="2" a="1"/>
  <c r="M283" i="2" s="1"/>
  <c r="L283" i="2" a="1"/>
  <c r="L283" i="2" s="1"/>
  <c r="K283" i="2" a="1"/>
  <c r="K283" i="2" s="1"/>
  <c r="J283" i="2"/>
  <c r="M282" i="2" a="1"/>
  <c r="M282" i="2" s="1"/>
  <c r="L282" i="2" a="1"/>
  <c r="L282" i="2" s="1"/>
  <c r="K282" i="2" a="1"/>
  <c r="K282" i="2" s="1"/>
  <c r="J282" i="2"/>
  <c r="M281" i="2" a="1"/>
  <c r="M281" i="2" s="1"/>
  <c r="L281" i="2" a="1"/>
  <c r="L281" i="2" s="1"/>
  <c r="K281" i="2" a="1"/>
  <c r="K281" i="2" s="1"/>
  <c r="J281" i="2"/>
  <c r="M280" i="2" a="1"/>
  <c r="M280" i="2" s="1"/>
  <c r="L280" i="2" a="1"/>
  <c r="L280" i="2" s="1"/>
  <c r="K280" i="2" a="1"/>
  <c r="K280" i="2" s="1"/>
  <c r="J280" i="2"/>
  <c r="M279" i="2" a="1"/>
  <c r="M279" i="2" s="1"/>
  <c r="L279" i="2" a="1"/>
  <c r="L279" i="2" s="1"/>
  <c r="K279" i="2" a="1"/>
  <c r="K279" i="2" s="1"/>
  <c r="J279" i="2"/>
  <c r="M278" i="2" a="1"/>
  <c r="M278" i="2" s="1"/>
  <c r="L278" i="2" a="1"/>
  <c r="L278" i="2" s="1"/>
  <c r="K278" i="2" a="1"/>
  <c r="K278" i="2" s="1"/>
  <c r="J278" i="2"/>
  <c r="M277" i="2" a="1"/>
  <c r="M277" i="2" s="1"/>
  <c r="L277" i="2" a="1"/>
  <c r="L277" i="2" s="1"/>
  <c r="K277" i="2" a="1"/>
  <c r="K277" i="2" s="1"/>
  <c r="J277" i="2"/>
  <c r="M276" i="2" a="1"/>
  <c r="M276" i="2" s="1"/>
  <c r="L276" i="2" a="1"/>
  <c r="L276" i="2" s="1"/>
  <c r="K276" i="2" a="1"/>
  <c r="K276" i="2" s="1"/>
  <c r="J276" i="2"/>
  <c r="M275" i="2"/>
  <c r="M275" i="2" a="1"/>
  <c r="L275" i="2" a="1"/>
  <c r="L275" i="2" s="1"/>
  <c r="K275" i="2" a="1"/>
  <c r="K275" i="2" s="1"/>
  <c r="J275" i="2"/>
  <c r="M274" i="2" a="1"/>
  <c r="M274" i="2" s="1"/>
  <c r="L274" i="2" a="1"/>
  <c r="L274" i="2" s="1"/>
  <c r="K274" i="2" a="1"/>
  <c r="K274" i="2" s="1"/>
  <c r="J274" i="2"/>
  <c r="M273" i="2" a="1"/>
  <c r="M273" i="2" s="1"/>
  <c r="L273" i="2" a="1"/>
  <c r="L273" i="2" s="1"/>
  <c r="K273" i="2" a="1"/>
  <c r="K273" i="2" s="1"/>
  <c r="J273" i="2"/>
  <c r="M272" i="2" a="1"/>
  <c r="M272" i="2" s="1"/>
  <c r="L272" i="2" a="1"/>
  <c r="L272" i="2" s="1"/>
  <c r="K272" i="2" a="1"/>
  <c r="K272" i="2" s="1"/>
  <c r="J272" i="2"/>
  <c r="M271" i="2" a="1"/>
  <c r="M271" i="2" s="1"/>
  <c r="L271" i="2" a="1"/>
  <c r="L271" i="2" s="1"/>
  <c r="K271" i="2" a="1"/>
  <c r="K271" i="2" s="1"/>
  <c r="J271" i="2"/>
  <c r="M270" i="2" a="1"/>
  <c r="M270" i="2" s="1"/>
  <c r="L270" i="2" a="1"/>
  <c r="L270" i="2" s="1"/>
  <c r="K270" i="2" a="1"/>
  <c r="K270" i="2" s="1"/>
  <c r="J270" i="2"/>
  <c r="M269" i="2" a="1"/>
  <c r="M269" i="2" s="1"/>
  <c r="L269" i="2" a="1"/>
  <c r="L269" i="2" s="1"/>
  <c r="K269" i="2" a="1"/>
  <c r="K269" i="2" s="1"/>
  <c r="J269" i="2"/>
  <c r="M268" i="2" a="1"/>
  <c r="M268" i="2" s="1"/>
  <c r="L268" i="2" a="1"/>
  <c r="L268" i="2" s="1"/>
  <c r="K268" i="2" a="1"/>
  <c r="K268" i="2" s="1"/>
  <c r="J268" i="2"/>
  <c r="M267" i="2" a="1"/>
  <c r="M267" i="2" s="1"/>
  <c r="L267" i="2" a="1"/>
  <c r="L267" i="2" s="1"/>
  <c r="K267" i="2" a="1"/>
  <c r="K267" i="2" s="1"/>
  <c r="J267" i="2"/>
  <c r="M266" i="2" a="1"/>
  <c r="M266" i="2" s="1"/>
  <c r="L266" i="2" a="1"/>
  <c r="L266" i="2" s="1"/>
  <c r="K266" i="2"/>
  <c r="K266" i="2" a="1"/>
  <c r="J266" i="2"/>
  <c r="M265" i="2" a="1"/>
  <c r="M265" i="2" s="1"/>
  <c r="L265" i="2" a="1"/>
  <c r="L265" i="2" s="1"/>
  <c r="K265" i="2" a="1"/>
  <c r="K265" i="2" s="1"/>
  <c r="J265" i="2"/>
  <c r="M264" i="2" a="1"/>
  <c r="M264" i="2" s="1"/>
  <c r="L264" i="2" a="1"/>
  <c r="L264" i="2" s="1"/>
  <c r="K264" i="2" a="1"/>
  <c r="K264" i="2" s="1"/>
  <c r="J264" i="2"/>
  <c r="M263" i="2" a="1"/>
  <c r="M263" i="2" s="1"/>
  <c r="L263" i="2" a="1"/>
  <c r="L263" i="2" s="1"/>
  <c r="K263" i="2" a="1"/>
  <c r="K263" i="2" s="1"/>
  <c r="J263" i="2"/>
  <c r="M262" i="2" a="1"/>
  <c r="M262" i="2" s="1"/>
  <c r="L262" i="2" a="1"/>
  <c r="L262" i="2" s="1"/>
  <c r="K262" i="2" a="1"/>
  <c r="K262" i="2" s="1"/>
  <c r="J262" i="2"/>
  <c r="M261" i="2" a="1"/>
  <c r="M261" i="2" s="1"/>
  <c r="L261" i="2" a="1"/>
  <c r="L261" i="2" s="1"/>
  <c r="K261" i="2" a="1"/>
  <c r="K261" i="2" s="1"/>
  <c r="J261" i="2"/>
  <c r="M260" i="2" a="1"/>
  <c r="M260" i="2" s="1"/>
  <c r="L260" i="2" a="1"/>
  <c r="L260" i="2" s="1"/>
  <c r="K260" i="2" a="1"/>
  <c r="K260" i="2" s="1"/>
  <c r="J260" i="2"/>
  <c r="M259" i="2"/>
  <c r="M259" i="2" a="1"/>
  <c r="L259" i="2" a="1"/>
  <c r="L259" i="2" s="1"/>
  <c r="K259" i="2" a="1"/>
  <c r="K259" i="2" s="1"/>
  <c r="J259" i="2"/>
  <c r="M258" i="2" a="1"/>
  <c r="M258" i="2" s="1"/>
  <c r="L258" i="2" a="1"/>
  <c r="L258" i="2" s="1"/>
  <c r="K258" i="2" a="1"/>
  <c r="K258" i="2" s="1"/>
  <c r="J258" i="2"/>
  <c r="M257" i="2" a="1"/>
  <c r="M257" i="2" s="1"/>
  <c r="L257" i="2" a="1"/>
  <c r="L257" i="2" s="1"/>
  <c r="K257" i="2" a="1"/>
  <c r="K257" i="2" s="1"/>
  <c r="J257" i="2"/>
  <c r="M256" i="2" a="1"/>
  <c r="M256" i="2" s="1"/>
  <c r="L256" i="2" a="1"/>
  <c r="L256" i="2" s="1"/>
  <c r="K256" i="2" a="1"/>
  <c r="K256" i="2" s="1"/>
  <c r="J256" i="2"/>
  <c r="M255" i="2" a="1"/>
  <c r="M255" i="2" s="1"/>
  <c r="L255" i="2" a="1"/>
  <c r="L255" i="2" s="1"/>
  <c r="K255" i="2" a="1"/>
  <c r="K255" i="2" s="1"/>
  <c r="J255" i="2"/>
  <c r="M254" i="2" a="1"/>
  <c r="M254" i="2" s="1"/>
  <c r="L254" i="2" a="1"/>
  <c r="L254" i="2" s="1"/>
  <c r="K254" i="2" a="1"/>
  <c r="K254" i="2" s="1"/>
  <c r="J254" i="2"/>
  <c r="M253" i="2" a="1"/>
  <c r="M253" i="2" s="1"/>
  <c r="L253" i="2" a="1"/>
  <c r="L253" i="2" s="1"/>
  <c r="K253" i="2"/>
  <c r="K253" i="2" a="1"/>
  <c r="J253" i="2"/>
  <c r="M252" i="2" a="1"/>
  <c r="M252" i="2" s="1"/>
  <c r="L252" i="2" a="1"/>
  <c r="L252" i="2" s="1"/>
  <c r="K252" i="2" a="1"/>
  <c r="K252" i="2" s="1"/>
  <c r="J252" i="2"/>
  <c r="M251" i="2" a="1"/>
  <c r="M251" i="2" s="1"/>
  <c r="L251" i="2" a="1"/>
  <c r="L251" i="2" s="1"/>
  <c r="K251" i="2" a="1"/>
  <c r="K251" i="2" s="1"/>
  <c r="J251" i="2"/>
  <c r="M250" i="2" a="1"/>
  <c r="M250" i="2" s="1"/>
  <c r="L250" i="2" a="1"/>
  <c r="L250" i="2" s="1"/>
  <c r="K250" i="2" a="1"/>
  <c r="K250" i="2" s="1"/>
  <c r="J250" i="2"/>
  <c r="M249" i="2" a="1"/>
  <c r="M249" i="2" s="1"/>
  <c r="L249" i="2" a="1"/>
  <c r="L249" i="2" s="1"/>
  <c r="K249" i="2" a="1"/>
  <c r="K249" i="2" s="1"/>
  <c r="J249" i="2"/>
  <c r="M248" i="2" a="1"/>
  <c r="M248" i="2" s="1"/>
  <c r="L248" i="2" a="1"/>
  <c r="L248" i="2" s="1"/>
  <c r="K248" i="2" a="1"/>
  <c r="K248" i="2" s="1"/>
  <c r="J248" i="2"/>
  <c r="M247" i="2" a="1"/>
  <c r="M247" i="2" s="1"/>
  <c r="L247" i="2" a="1"/>
  <c r="L247" i="2" s="1"/>
  <c r="K247" i="2" a="1"/>
  <c r="K247" i="2" s="1"/>
  <c r="J247" i="2"/>
  <c r="M246" i="2"/>
  <c r="M246" i="2" a="1"/>
  <c r="L246" i="2" a="1"/>
  <c r="L246" i="2" s="1"/>
  <c r="K246" i="2" a="1"/>
  <c r="K246" i="2" s="1"/>
  <c r="J246" i="2"/>
  <c r="M245" i="2" a="1"/>
  <c r="M245" i="2" s="1"/>
  <c r="L245" i="2" a="1"/>
  <c r="L245" i="2" s="1"/>
  <c r="K245" i="2"/>
  <c r="K245" i="2" a="1"/>
  <c r="J245" i="2"/>
  <c r="M244" i="2" a="1"/>
  <c r="M244" i="2" s="1"/>
  <c r="L244" i="2" a="1"/>
  <c r="L244" i="2" s="1"/>
  <c r="K244" i="2" a="1"/>
  <c r="K244" i="2" s="1"/>
  <c r="J244" i="2"/>
  <c r="M243" i="2" a="1"/>
  <c r="M243" i="2" s="1"/>
  <c r="L243" i="2" a="1"/>
  <c r="L243" i="2" s="1"/>
  <c r="K243" i="2" a="1"/>
  <c r="K243" i="2" s="1"/>
  <c r="J243" i="2"/>
  <c r="M242" i="2" a="1"/>
  <c r="M242" i="2" s="1"/>
  <c r="L242" i="2" a="1"/>
  <c r="L242" i="2" s="1"/>
  <c r="K242" i="2" a="1"/>
  <c r="K242" i="2" s="1"/>
  <c r="J242" i="2"/>
  <c r="M241" i="2" a="1"/>
  <c r="M241" i="2" s="1"/>
  <c r="L241" i="2" a="1"/>
  <c r="L241" i="2" s="1"/>
  <c r="K241" i="2" a="1"/>
  <c r="K241" i="2" s="1"/>
  <c r="J241" i="2"/>
  <c r="M240" i="2" a="1"/>
  <c r="M240" i="2" s="1"/>
  <c r="L240" i="2" a="1"/>
  <c r="L240" i="2" s="1"/>
  <c r="K240" i="2" a="1"/>
  <c r="K240" i="2" s="1"/>
  <c r="J240" i="2"/>
  <c r="M239" i="2" a="1"/>
  <c r="M239" i="2" s="1"/>
  <c r="L239" i="2" a="1"/>
  <c r="L239" i="2" s="1"/>
  <c r="K239" i="2" a="1"/>
  <c r="K239" i="2" s="1"/>
  <c r="J239" i="2"/>
  <c r="M238" i="2"/>
  <c r="M238" i="2" a="1"/>
  <c r="L238" i="2" a="1"/>
  <c r="L238" i="2" s="1"/>
  <c r="K238" i="2" a="1"/>
  <c r="K238" i="2" s="1"/>
  <c r="J238" i="2"/>
  <c r="M237" i="2" a="1"/>
  <c r="M237" i="2" s="1"/>
  <c r="L237" i="2" a="1"/>
  <c r="L237" i="2" s="1"/>
  <c r="K237" i="2"/>
  <c r="K237" i="2" a="1"/>
  <c r="J237" i="2"/>
  <c r="M236" i="2" a="1"/>
  <c r="M236" i="2" s="1"/>
  <c r="L236" i="2" a="1"/>
  <c r="L236" i="2" s="1"/>
  <c r="K236" i="2" a="1"/>
  <c r="K236" i="2" s="1"/>
  <c r="J236" i="2"/>
  <c r="M235" i="2" a="1"/>
  <c r="M235" i="2" s="1"/>
  <c r="L235" i="2" a="1"/>
  <c r="L235" i="2" s="1"/>
  <c r="K235" i="2" a="1"/>
  <c r="K235" i="2" s="1"/>
  <c r="J235" i="2"/>
  <c r="M234" i="2" a="1"/>
  <c r="M234" i="2" s="1"/>
  <c r="L234" i="2" a="1"/>
  <c r="L234" i="2" s="1"/>
  <c r="K234" i="2" a="1"/>
  <c r="K234" i="2" s="1"/>
  <c r="J234" i="2"/>
  <c r="M233" i="2" a="1"/>
  <c r="M233" i="2" s="1"/>
  <c r="L233" i="2" a="1"/>
  <c r="L233" i="2" s="1"/>
  <c r="K233" i="2"/>
  <c r="K233" i="2" a="1"/>
  <c r="J233" i="2"/>
  <c r="M232" i="2" a="1"/>
  <c r="M232" i="2" s="1"/>
  <c r="L232" i="2" a="1"/>
  <c r="L232" i="2" s="1"/>
  <c r="K232" i="2" a="1"/>
  <c r="K232" i="2" s="1"/>
  <c r="J232" i="2"/>
  <c r="M231" i="2" a="1"/>
  <c r="M231" i="2" s="1"/>
  <c r="L231" i="2" a="1"/>
  <c r="L231" i="2" s="1"/>
  <c r="K231" i="2" a="1"/>
  <c r="K231" i="2" s="1"/>
  <c r="J231" i="2"/>
  <c r="M230" i="2" a="1"/>
  <c r="M230" i="2" s="1"/>
  <c r="L230" i="2" a="1"/>
  <c r="L230" i="2" s="1"/>
  <c r="K230" i="2" a="1"/>
  <c r="K230" i="2" s="1"/>
  <c r="J230" i="2"/>
  <c r="M229" i="2" a="1"/>
  <c r="M229" i="2" s="1"/>
  <c r="L229" i="2" a="1"/>
  <c r="L229" i="2" s="1"/>
  <c r="K229" i="2" a="1"/>
  <c r="K229" i="2" s="1"/>
  <c r="J229" i="2"/>
  <c r="M228" i="2" a="1"/>
  <c r="M228" i="2" s="1"/>
  <c r="L228" i="2" a="1"/>
  <c r="L228" i="2" s="1"/>
  <c r="K228" i="2" a="1"/>
  <c r="K228" i="2" s="1"/>
  <c r="J228" i="2"/>
  <c r="M227" i="2" a="1"/>
  <c r="M227" i="2" s="1"/>
  <c r="L227" i="2" a="1"/>
  <c r="L227" i="2" s="1"/>
  <c r="K227" i="2" a="1"/>
  <c r="K227" i="2" s="1"/>
  <c r="J227" i="2"/>
  <c r="M226" i="2"/>
  <c r="M226" i="2" a="1"/>
  <c r="L226" i="2" a="1"/>
  <c r="L226" i="2" s="1"/>
  <c r="K226" i="2" a="1"/>
  <c r="K226" i="2" s="1"/>
  <c r="J226" i="2"/>
  <c r="M225" i="2" a="1"/>
  <c r="M225" i="2" s="1"/>
  <c r="L225" i="2" a="1"/>
  <c r="L225" i="2" s="1"/>
  <c r="K225" i="2" a="1"/>
  <c r="K225" i="2" s="1"/>
  <c r="J225" i="2"/>
  <c r="M224" i="2" a="1"/>
  <c r="M224" i="2" s="1"/>
  <c r="L224" i="2" a="1"/>
  <c r="L224" i="2" s="1"/>
  <c r="K224" i="2" a="1"/>
  <c r="K224" i="2" s="1"/>
  <c r="J224" i="2"/>
  <c r="M223" i="2" a="1"/>
  <c r="M223" i="2" s="1"/>
  <c r="L223" i="2" a="1"/>
  <c r="L223" i="2" s="1"/>
  <c r="K223" i="2" a="1"/>
  <c r="K223" i="2" s="1"/>
  <c r="J223" i="2"/>
  <c r="M222" i="2" a="1"/>
  <c r="M222" i="2" s="1"/>
  <c r="L222" i="2" a="1"/>
  <c r="L222" i="2" s="1"/>
  <c r="K222" i="2" a="1"/>
  <c r="K222" i="2" s="1"/>
  <c r="J222" i="2"/>
  <c r="M221" i="2" a="1"/>
  <c r="M221" i="2" s="1"/>
  <c r="L221" i="2" a="1"/>
  <c r="L221" i="2" s="1"/>
  <c r="K221" i="2" a="1"/>
  <c r="K221" i="2" s="1"/>
  <c r="J221" i="2"/>
  <c r="M220" i="2" a="1"/>
  <c r="M220" i="2" s="1"/>
  <c r="L220" i="2" a="1"/>
  <c r="L220" i="2" s="1"/>
  <c r="K220" i="2" a="1"/>
  <c r="K220" i="2" s="1"/>
  <c r="J220" i="2"/>
  <c r="M219" i="2" a="1"/>
  <c r="M219" i="2" s="1"/>
  <c r="L219" i="2" a="1"/>
  <c r="L219" i="2" s="1"/>
  <c r="K219" i="2" a="1"/>
  <c r="K219" i="2" s="1"/>
  <c r="J219" i="2"/>
  <c r="M218" i="2" a="1"/>
  <c r="M218" i="2" s="1"/>
  <c r="L218" i="2" a="1"/>
  <c r="L218" i="2" s="1"/>
  <c r="K218" i="2" a="1"/>
  <c r="K218" i="2" s="1"/>
  <c r="J218" i="2"/>
  <c r="M217" i="2" a="1"/>
  <c r="M217" i="2" s="1"/>
  <c r="L217" i="2" a="1"/>
  <c r="L217" i="2" s="1"/>
  <c r="K217" i="2"/>
  <c r="K217" i="2" a="1"/>
  <c r="J217" i="2"/>
  <c r="M216" i="2" a="1"/>
  <c r="M216" i="2" s="1"/>
  <c r="L216" i="2" a="1"/>
  <c r="L216" i="2" s="1"/>
  <c r="K216" i="2" a="1"/>
  <c r="K216" i="2" s="1"/>
  <c r="J216" i="2"/>
  <c r="M215" i="2" a="1"/>
  <c r="M215" i="2" s="1"/>
  <c r="L215" i="2" a="1"/>
  <c r="L215" i="2" s="1"/>
  <c r="K215" i="2" a="1"/>
  <c r="K215" i="2" s="1"/>
  <c r="J215" i="2"/>
  <c r="M214" i="2" a="1"/>
  <c r="M214" i="2" s="1"/>
  <c r="L214" i="2" a="1"/>
  <c r="L214" i="2" s="1"/>
  <c r="K214" i="2" a="1"/>
  <c r="K214" i="2" s="1"/>
  <c r="J214" i="2"/>
  <c r="M213" i="2" a="1"/>
  <c r="M213" i="2" s="1"/>
  <c r="L213" i="2" a="1"/>
  <c r="L213" i="2" s="1"/>
  <c r="K213" i="2" a="1"/>
  <c r="K213" i="2" s="1"/>
  <c r="J213" i="2"/>
  <c r="M212" i="2" a="1"/>
  <c r="M212" i="2" s="1"/>
  <c r="L212" i="2" a="1"/>
  <c r="L212" i="2" s="1"/>
  <c r="K212" i="2" a="1"/>
  <c r="K212" i="2" s="1"/>
  <c r="J212" i="2"/>
  <c r="M211" i="2" a="1"/>
  <c r="M211" i="2" s="1"/>
  <c r="L211" i="2" a="1"/>
  <c r="L211" i="2" s="1"/>
  <c r="K211" i="2" a="1"/>
  <c r="K211" i="2" s="1"/>
  <c r="J211" i="2"/>
  <c r="M210" i="2" a="1"/>
  <c r="M210" i="2" s="1"/>
  <c r="L210" i="2" a="1"/>
  <c r="L210" i="2" s="1"/>
  <c r="K210" i="2" a="1"/>
  <c r="K210" i="2" s="1"/>
  <c r="J210" i="2"/>
  <c r="M209" i="2" a="1"/>
  <c r="M209" i="2" s="1"/>
  <c r="L209" i="2" a="1"/>
  <c r="L209" i="2" s="1"/>
  <c r="K209" i="2" a="1"/>
  <c r="K209" i="2" s="1"/>
  <c r="J209" i="2"/>
  <c r="M208" i="2" a="1"/>
  <c r="M208" i="2" s="1"/>
  <c r="L208" i="2" a="1"/>
  <c r="L208" i="2" s="1"/>
  <c r="K208" i="2" a="1"/>
  <c r="K208" i="2" s="1"/>
  <c r="J208" i="2"/>
  <c r="M207" i="2" a="1"/>
  <c r="M207" i="2" s="1"/>
  <c r="L207" i="2" a="1"/>
  <c r="L207" i="2" s="1"/>
  <c r="K207" i="2" a="1"/>
  <c r="K207" i="2" s="1"/>
  <c r="J207" i="2"/>
  <c r="M206" i="2" a="1"/>
  <c r="M206" i="2" s="1"/>
  <c r="L206" i="2" a="1"/>
  <c r="L206" i="2" s="1"/>
  <c r="K206" i="2" a="1"/>
  <c r="K206" i="2" s="1"/>
  <c r="J206" i="2"/>
  <c r="M205" i="2" a="1"/>
  <c r="M205" i="2" s="1"/>
  <c r="L205" i="2" a="1"/>
  <c r="L205" i="2" s="1"/>
  <c r="K205" i="2" a="1"/>
  <c r="K205" i="2" s="1"/>
  <c r="J205" i="2"/>
  <c r="M204" i="2" a="1"/>
  <c r="M204" i="2" s="1"/>
  <c r="L204" i="2" a="1"/>
  <c r="L204" i="2" s="1"/>
  <c r="K204" i="2" a="1"/>
  <c r="K204" i="2" s="1"/>
  <c r="J204" i="2"/>
  <c r="M203" i="2" a="1"/>
  <c r="M203" i="2" s="1"/>
  <c r="L203" i="2" a="1"/>
  <c r="L203" i="2" s="1"/>
  <c r="K203" i="2" a="1"/>
  <c r="K203" i="2" s="1"/>
  <c r="J203" i="2"/>
  <c r="M202" i="2" a="1"/>
  <c r="M202" i="2" s="1"/>
  <c r="L202" i="2" a="1"/>
  <c r="L202" i="2" s="1"/>
  <c r="K202" i="2" a="1"/>
  <c r="K202" i="2" s="1"/>
  <c r="J202" i="2"/>
  <c r="M201" i="2" a="1"/>
  <c r="M201" i="2" s="1"/>
  <c r="L201" i="2" a="1"/>
  <c r="L201" i="2" s="1"/>
  <c r="K201" i="2" a="1"/>
  <c r="K201" i="2" s="1"/>
  <c r="J201" i="2"/>
  <c r="M200" i="2" a="1"/>
  <c r="M200" i="2" s="1"/>
  <c r="L200" i="2" a="1"/>
  <c r="L200" i="2" s="1"/>
  <c r="K200" i="2" a="1"/>
  <c r="K200" i="2" s="1"/>
  <c r="J200" i="2"/>
  <c r="M199" i="2" a="1"/>
  <c r="M199" i="2" s="1"/>
  <c r="L199" i="2" a="1"/>
  <c r="L199" i="2" s="1"/>
  <c r="K199" i="2" a="1"/>
  <c r="K199" i="2" s="1"/>
  <c r="J199" i="2"/>
  <c r="M198" i="2" a="1"/>
  <c r="M198" i="2" s="1"/>
  <c r="L198" i="2" a="1"/>
  <c r="L198" i="2" s="1"/>
  <c r="K198" i="2" a="1"/>
  <c r="K198" i="2" s="1"/>
  <c r="J198" i="2"/>
  <c r="M197" i="2" a="1"/>
  <c r="M197" i="2" s="1"/>
  <c r="L197" i="2" a="1"/>
  <c r="L197" i="2" s="1"/>
  <c r="K197" i="2" a="1"/>
  <c r="K197" i="2" s="1"/>
  <c r="J197" i="2"/>
  <c r="M196" i="2" a="1"/>
  <c r="M196" i="2" s="1"/>
  <c r="L196" i="2" a="1"/>
  <c r="L196" i="2" s="1"/>
  <c r="K196" i="2" a="1"/>
  <c r="K196" i="2" s="1"/>
  <c r="J196" i="2"/>
  <c r="M195" i="2" a="1"/>
  <c r="M195" i="2" s="1"/>
  <c r="L195" i="2" a="1"/>
  <c r="L195" i="2" s="1"/>
  <c r="K195" i="2" a="1"/>
  <c r="K195" i="2" s="1"/>
  <c r="J195" i="2"/>
  <c r="M194" i="2" a="1"/>
  <c r="M194" i="2" s="1"/>
  <c r="L194" i="2" a="1"/>
  <c r="L194" i="2" s="1"/>
  <c r="K194" i="2" a="1"/>
  <c r="K194" i="2" s="1"/>
  <c r="J194" i="2"/>
  <c r="M193" i="2" a="1"/>
  <c r="M193" i="2" s="1"/>
  <c r="L193" i="2" a="1"/>
  <c r="L193" i="2" s="1"/>
  <c r="K193" i="2" a="1"/>
  <c r="K193" i="2" s="1"/>
  <c r="J193" i="2"/>
  <c r="M192" i="2" a="1"/>
  <c r="M192" i="2" s="1"/>
  <c r="L192" i="2" a="1"/>
  <c r="L192" i="2" s="1"/>
  <c r="K192" i="2" a="1"/>
  <c r="K192" i="2" s="1"/>
  <c r="J192" i="2"/>
  <c r="M191" i="2" a="1"/>
  <c r="M191" i="2" s="1"/>
  <c r="L191" i="2" a="1"/>
  <c r="L191" i="2" s="1"/>
  <c r="K191" i="2" a="1"/>
  <c r="K191" i="2" s="1"/>
  <c r="J191" i="2"/>
  <c r="M190" i="2" a="1"/>
  <c r="M190" i="2" s="1"/>
  <c r="L190" i="2" a="1"/>
  <c r="L190" i="2" s="1"/>
  <c r="K190" i="2" a="1"/>
  <c r="K190" i="2" s="1"/>
  <c r="J190" i="2"/>
  <c r="M189" i="2" a="1"/>
  <c r="M189" i="2" s="1"/>
  <c r="L189" i="2" a="1"/>
  <c r="L189" i="2" s="1"/>
  <c r="K189" i="2"/>
  <c r="K189" i="2" a="1"/>
  <c r="J189" i="2"/>
  <c r="M188" i="2" a="1"/>
  <c r="M188" i="2" s="1"/>
  <c r="L188" i="2" a="1"/>
  <c r="L188" i="2" s="1"/>
  <c r="K188" i="2" a="1"/>
  <c r="K188" i="2" s="1"/>
  <c r="J188" i="2"/>
  <c r="M187" i="2" a="1"/>
  <c r="M187" i="2" s="1"/>
  <c r="L187" i="2" a="1"/>
  <c r="L187" i="2" s="1"/>
  <c r="K187" i="2" a="1"/>
  <c r="K187" i="2" s="1"/>
  <c r="J187" i="2"/>
  <c r="M186" i="2" a="1"/>
  <c r="M186" i="2" s="1"/>
  <c r="L186" i="2" a="1"/>
  <c r="L186" i="2" s="1"/>
  <c r="K186" i="2" a="1"/>
  <c r="K186" i="2" s="1"/>
  <c r="J186" i="2"/>
  <c r="M185" i="2" a="1"/>
  <c r="M185" i="2" s="1"/>
  <c r="L185" i="2" a="1"/>
  <c r="L185" i="2" s="1"/>
  <c r="K185" i="2" a="1"/>
  <c r="K185" i="2" s="1"/>
  <c r="J185" i="2"/>
  <c r="M184" i="2" a="1"/>
  <c r="M184" i="2" s="1"/>
  <c r="L184" i="2" a="1"/>
  <c r="L184" i="2" s="1"/>
  <c r="K184" i="2" a="1"/>
  <c r="K184" i="2" s="1"/>
  <c r="J184" i="2"/>
  <c r="M183" i="2" a="1"/>
  <c r="M183" i="2" s="1"/>
  <c r="L183" i="2" a="1"/>
  <c r="L183" i="2" s="1"/>
  <c r="K183" i="2" a="1"/>
  <c r="K183" i="2" s="1"/>
  <c r="J183" i="2"/>
  <c r="M182" i="2" a="1"/>
  <c r="M182" i="2" s="1"/>
  <c r="L182" i="2" a="1"/>
  <c r="L182" i="2" s="1"/>
  <c r="K182" i="2" a="1"/>
  <c r="K182" i="2" s="1"/>
  <c r="J182" i="2"/>
  <c r="M181" i="2" a="1"/>
  <c r="M181" i="2" s="1"/>
  <c r="L181" i="2" a="1"/>
  <c r="L181" i="2" s="1"/>
  <c r="K181" i="2" a="1"/>
  <c r="K181" i="2" s="1"/>
  <c r="J181" i="2"/>
  <c r="M180" i="2" a="1"/>
  <c r="M180" i="2" s="1"/>
  <c r="L180" i="2" a="1"/>
  <c r="L180" i="2" s="1"/>
  <c r="K180" i="2" a="1"/>
  <c r="K180" i="2" s="1"/>
  <c r="J180" i="2"/>
  <c r="M179" i="2" a="1"/>
  <c r="M179" i="2" s="1"/>
  <c r="L179" i="2" a="1"/>
  <c r="L179" i="2" s="1"/>
  <c r="K179" i="2" a="1"/>
  <c r="K179" i="2" s="1"/>
  <c r="J179" i="2"/>
  <c r="M178" i="2" a="1"/>
  <c r="M178" i="2" s="1"/>
  <c r="L178" i="2" a="1"/>
  <c r="L178" i="2" s="1"/>
  <c r="K178" i="2" a="1"/>
  <c r="K178" i="2" s="1"/>
  <c r="J178" i="2"/>
  <c r="M177" i="2" a="1"/>
  <c r="M177" i="2" s="1"/>
  <c r="L177" i="2" a="1"/>
  <c r="L177" i="2" s="1"/>
  <c r="K177" i="2" a="1"/>
  <c r="K177" i="2" s="1"/>
  <c r="J177" i="2"/>
  <c r="M176" i="2" a="1"/>
  <c r="M176" i="2" s="1"/>
  <c r="L176" i="2" a="1"/>
  <c r="L176" i="2" s="1"/>
  <c r="K176" i="2" a="1"/>
  <c r="K176" i="2" s="1"/>
  <c r="J176" i="2"/>
  <c r="M175" i="2" a="1"/>
  <c r="M175" i="2" s="1"/>
  <c r="L175" i="2" a="1"/>
  <c r="L175" i="2" s="1"/>
  <c r="K175" i="2" a="1"/>
  <c r="K175" i="2" s="1"/>
  <c r="J175" i="2"/>
  <c r="M174" i="2" a="1"/>
  <c r="M174" i="2" s="1"/>
  <c r="L174" i="2" a="1"/>
  <c r="L174" i="2" s="1"/>
  <c r="K174" i="2" a="1"/>
  <c r="K174" i="2" s="1"/>
  <c r="J174" i="2"/>
  <c r="M173" i="2" a="1"/>
  <c r="M173" i="2" s="1"/>
  <c r="L173" i="2" a="1"/>
  <c r="L173" i="2" s="1"/>
  <c r="K173" i="2" a="1"/>
  <c r="K173" i="2" s="1"/>
  <c r="J173" i="2"/>
  <c r="M172" i="2" a="1"/>
  <c r="M172" i="2" s="1"/>
  <c r="L172" i="2" a="1"/>
  <c r="L172" i="2" s="1"/>
  <c r="K172" i="2" a="1"/>
  <c r="K172" i="2" s="1"/>
  <c r="J172" i="2"/>
  <c r="M171" i="2" a="1"/>
  <c r="M171" i="2" s="1"/>
  <c r="L171" i="2" a="1"/>
  <c r="L171" i="2" s="1"/>
  <c r="K171" i="2" a="1"/>
  <c r="K171" i="2" s="1"/>
  <c r="J171" i="2"/>
  <c r="M170" i="2" a="1"/>
  <c r="M170" i="2" s="1"/>
  <c r="L170" i="2" a="1"/>
  <c r="L170" i="2" s="1"/>
  <c r="K170" i="2" a="1"/>
  <c r="K170" i="2" s="1"/>
  <c r="J170" i="2"/>
  <c r="M169" i="2" a="1"/>
  <c r="M169" i="2" s="1"/>
  <c r="L169" i="2" a="1"/>
  <c r="L169" i="2" s="1"/>
  <c r="K169" i="2" a="1"/>
  <c r="K169" i="2" s="1"/>
  <c r="J169" i="2"/>
  <c r="M168" i="2" a="1"/>
  <c r="M168" i="2" s="1"/>
  <c r="L168" i="2" a="1"/>
  <c r="L168" i="2" s="1"/>
  <c r="K168" i="2" a="1"/>
  <c r="K168" i="2" s="1"/>
  <c r="J168" i="2"/>
  <c r="M167" i="2" a="1"/>
  <c r="M167" i="2" s="1"/>
  <c r="L167" i="2" a="1"/>
  <c r="L167" i="2" s="1"/>
  <c r="K167" i="2" a="1"/>
  <c r="K167" i="2" s="1"/>
  <c r="J167" i="2"/>
  <c r="M166" i="2" a="1"/>
  <c r="M166" i="2" s="1"/>
  <c r="L166" i="2" a="1"/>
  <c r="L166" i="2" s="1"/>
  <c r="K166" i="2" a="1"/>
  <c r="K166" i="2" s="1"/>
  <c r="J166" i="2"/>
  <c r="M165" i="2" a="1"/>
  <c r="M165" i="2" s="1"/>
  <c r="L165" i="2" a="1"/>
  <c r="L165" i="2" s="1"/>
  <c r="K165" i="2" a="1"/>
  <c r="K165" i="2" s="1"/>
  <c r="J165" i="2"/>
  <c r="M164" i="2" a="1"/>
  <c r="M164" i="2" s="1"/>
  <c r="L164" i="2" a="1"/>
  <c r="L164" i="2" s="1"/>
  <c r="K164" i="2" a="1"/>
  <c r="K164" i="2" s="1"/>
  <c r="J164" i="2"/>
  <c r="M163" i="2" a="1"/>
  <c r="M163" i="2" s="1"/>
  <c r="L163" i="2" a="1"/>
  <c r="L163" i="2" s="1"/>
  <c r="K163" i="2" a="1"/>
  <c r="K163" i="2" s="1"/>
  <c r="J163" i="2"/>
  <c r="M162" i="2" a="1"/>
  <c r="M162" i="2" s="1"/>
  <c r="L162" i="2" a="1"/>
  <c r="L162" i="2" s="1"/>
  <c r="K162" i="2" a="1"/>
  <c r="K162" i="2" s="1"/>
  <c r="J162" i="2"/>
  <c r="M161" i="2" a="1"/>
  <c r="M161" i="2" s="1"/>
  <c r="L161" i="2" a="1"/>
  <c r="L161" i="2" s="1"/>
  <c r="K161" i="2" a="1"/>
  <c r="K161" i="2" s="1"/>
  <c r="J161" i="2"/>
  <c r="M160" i="2" a="1"/>
  <c r="M160" i="2" s="1"/>
  <c r="L160" i="2" a="1"/>
  <c r="L160" i="2" s="1"/>
  <c r="K160" i="2" a="1"/>
  <c r="K160" i="2" s="1"/>
  <c r="J160" i="2"/>
  <c r="M159" i="2" a="1"/>
  <c r="M159" i="2" s="1"/>
  <c r="L159" i="2" a="1"/>
  <c r="L159" i="2" s="1"/>
  <c r="K159" i="2" a="1"/>
  <c r="K159" i="2" s="1"/>
  <c r="J159" i="2"/>
  <c r="M158" i="2" a="1"/>
  <c r="M158" i="2" s="1"/>
  <c r="L158" i="2" a="1"/>
  <c r="L158" i="2" s="1"/>
  <c r="K158" i="2" a="1"/>
  <c r="K158" i="2" s="1"/>
  <c r="J158" i="2"/>
  <c r="M157" i="2" a="1"/>
  <c r="M157" i="2" s="1"/>
  <c r="L157" i="2" a="1"/>
  <c r="L157" i="2" s="1"/>
  <c r="K157" i="2" a="1"/>
  <c r="K157" i="2" s="1"/>
  <c r="J157" i="2"/>
  <c r="M156" i="2" a="1"/>
  <c r="M156" i="2" s="1"/>
  <c r="L156" i="2" a="1"/>
  <c r="L156" i="2" s="1"/>
  <c r="K156" i="2" a="1"/>
  <c r="K156" i="2" s="1"/>
  <c r="J156" i="2"/>
  <c r="M155" i="2" a="1"/>
  <c r="M155" i="2" s="1"/>
  <c r="L155" i="2" a="1"/>
  <c r="L155" i="2" s="1"/>
  <c r="K155" i="2" a="1"/>
  <c r="K155" i="2" s="1"/>
  <c r="J155" i="2"/>
  <c r="M154" i="2" a="1"/>
  <c r="M154" i="2" s="1"/>
  <c r="L154" i="2" a="1"/>
  <c r="L154" i="2" s="1"/>
  <c r="K154" i="2" a="1"/>
  <c r="K154" i="2" s="1"/>
  <c r="J154" i="2"/>
  <c r="M153" i="2" a="1"/>
  <c r="M153" i="2" s="1"/>
  <c r="L153" i="2" a="1"/>
  <c r="L153" i="2" s="1"/>
  <c r="K153" i="2" a="1"/>
  <c r="K153" i="2" s="1"/>
  <c r="J153" i="2"/>
  <c r="M152" i="2" a="1"/>
  <c r="M152" i="2" s="1"/>
  <c r="L152" i="2" a="1"/>
  <c r="L152" i="2" s="1"/>
  <c r="K152" i="2" a="1"/>
  <c r="K152" i="2" s="1"/>
  <c r="J152" i="2"/>
  <c r="M151" i="2" a="1"/>
  <c r="M151" i="2" s="1"/>
  <c r="L151" i="2" a="1"/>
  <c r="L151" i="2" s="1"/>
  <c r="K151" i="2" a="1"/>
  <c r="K151" i="2" s="1"/>
  <c r="J151" i="2"/>
  <c r="M150" i="2" a="1"/>
  <c r="M150" i="2" s="1"/>
  <c r="L150" i="2" a="1"/>
  <c r="L150" i="2" s="1"/>
  <c r="K150" i="2" a="1"/>
  <c r="K150" i="2" s="1"/>
  <c r="J150" i="2"/>
  <c r="M149" i="2" a="1"/>
  <c r="M149" i="2" s="1"/>
  <c r="L149" i="2" a="1"/>
  <c r="L149" i="2" s="1"/>
  <c r="K149" i="2"/>
  <c r="K149" i="2" a="1"/>
  <c r="J149" i="2"/>
  <c r="M148" i="2" a="1"/>
  <c r="M148" i="2" s="1"/>
  <c r="L148" i="2" a="1"/>
  <c r="L148" i="2" s="1"/>
  <c r="K148" i="2" a="1"/>
  <c r="K148" i="2" s="1"/>
  <c r="J148" i="2"/>
  <c r="M147" i="2" a="1"/>
  <c r="M147" i="2" s="1"/>
  <c r="L147" i="2" a="1"/>
  <c r="L147" i="2" s="1"/>
  <c r="K147" i="2" a="1"/>
  <c r="K147" i="2" s="1"/>
  <c r="J147" i="2"/>
  <c r="M146" i="2" a="1"/>
  <c r="M146" i="2" s="1"/>
  <c r="L146" i="2" a="1"/>
  <c r="L146" i="2" s="1"/>
  <c r="K146" i="2" a="1"/>
  <c r="K146" i="2" s="1"/>
  <c r="J146" i="2"/>
  <c r="M145" i="2" a="1"/>
  <c r="M145" i="2" s="1"/>
  <c r="L145" i="2" a="1"/>
  <c r="L145" i="2" s="1"/>
  <c r="K145" i="2" a="1"/>
  <c r="K145" i="2" s="1"/>
  <c r="J145" i="2"/>
  <c r="M144" i="2" a="1"/>
  <c r="M144" i="2" s="1"/>
  <c r="L144" i="2" a="1"/>
  <c r="L144" i="2" s="1"/>
  <c r="K144" i="2" a="1"/>
  <c r="K144" i="2" s="1"/>
  <c r="J144" i="2"/>
  <c r="M143" i="2" a="1"/>
  <c r="M143" i="2" s="1"/>
  <c r="L143" i="2" a="1"/>
  <c r="L143" i="2" s="1"/>
  <c r="K143" i="2" a="1"/>
  <c r="K143" i="2" s="1"/>
  <c r="J143" i="2"/>
  <c r="M142" i="2" a="1"/>
  <c r="M142" i="2" s="1"/>
  <c r="L142" i="2" a="1"/>
  <c r="L142" i="2" s="1"/>
  <c r="K142" i="2" a="1"/>
  <c r="K142" i="2" s="1"/>
  <c r="J142" i="2"/>
  <c r="M141" i="2" a="1"/>
  <c r="M141" i="2" s="1"/>
  <c r="L141" i="2" a="1"/>
  <c r="L141" i="2" s="1"/>
  <c r="K141" i="2" a="1"/>
  <c r="K141" i="2" s="1"/>
  <c r="J141" i="2"/>
  <c r="M140" i="2" a="1"/>
  <c r="M140" i="2" s="1"/>
  <c r="L140" i="2" a="1"/>
  <c r="L140" i="2" s="1"/>
  <c r="K140" i="2" a="1"/>
  <c r="K140" i="2" s="1"/>
  <c r="J140" i="2"/>
  <c r="M139" i="2" a="1"/>
  <c r="M139" i="2" s="1"/>
  <c r="L139" i="2" a="1"/>
  <c r="L139" i="2" s="1"/>
  <c r="K139" i="2" a="1"/>
  <c r="K139" i="2" s="1"/>
  <c r="J139" i="2"/>
  <c r="M138" i="2" a="1"/>
  <c r="M138" i="2" s="1"/>
  <c r="L138" i="2" a="1"/>
  <c r="L138" i="2" s="1"/>
  <c r="K138" i="2" a="1"/>
  <c r="K138" i="2" s="1"/>
  <c r="J138" i="2"/>
  <c r="M137" i="2" a="1"/>
  <c r="M137" i="2" s="1"/>
  <c r="L137" i="2" a="1"/>
  <c r="L137" i="2" s="1"/>
  <c r="K137" i="2" a="1"/>
  <c r="K137" i="2" s="1"/>
  <c r="J137" i="2"/>
  <c r="M136" i="2" a="1"/>
  <c r="M136" i="2" s="1"/>
  <c r="L136" i="2" a="1"/>
  <c r="L136" i="2" s="1"/>
  <c r="K136" i="2" a="1"/>
  <c r="K136" i="2" s="1"/>
  <c r="J136" i="2"/>
  <c r="M135" i="2" a="1"/>
  <c r="M135" i="2" s="1"/>
  <c r="L135" i="2" a="1"/>
  <c r="L135" i="2" s="1"/>
  <c r="K135" i="2" a="1"/>
  <c r="K135" i="2" s="1"/>
  <c r="J135" i="2"/>
  <c r="M134" i="2" a="1"/>
  <c r="M134" i="2" s="1"/>
  <c r="L134" i="2" a="1"/>
  <c r="L134" i="2" s="1"/>
  <c r="K134" i="2" a="1"/>
  <c r="K134" i="2" s="1"/>
  <c r="J134" i="2"/>
  <c r="M133" i="2" a="1"/>
  <c r="M133" i="2" s="1"/>
  <c r="L133" i="2" a="1"/>
  <c r="L133" i="2" s="1"/>
  <c r="K133" i="2" a="1"/>
  <c r="K133" i="2" s="1"/>
  <c r="J133" i="2"/>
  <c r="M132" i="2"/>
  <c r="M132" i="2" a="1"/>
  <c r="L132" i="2" a="1"/>
  <c r="L132" i="2" s="1"/>
  <c r="K132" i="2" a="1"/>
  <c r="K132" i="2" s="1"/>
  <c r="J132" i="2"/>
  <c r="M131" i="2" a="1"/>
  <c r="M131" i="2" s="1"/>
  <c r="L131" i="2" a="1"/>
  <c r="L131" i="2" s="1"/>
  <c r="K131" i="2" a="1"/>
  <c r="K131" i="2" s="1"/>
  <c r="J131" i="2"/>
  <c r="M130" i="2" a="1"/>
  <c r="M130" i="2" s="1"/>
  <c r="L130" i="2" a="1"/>
  <c r="L130" i="2" s="1"/>
  <c r="K130" i="2" a="1"/>
  <c r="K130" i="2" s="1"/>
  <c r="J130" i="2"/>
  <c r="M129" i="2" a="1"/>
  <c r="M129" i="2" s="1"/>
  <c r="L129" i="2" a="1"/>
  <c r="L129" i="2" s="1"/>
  <c r="K129" i="2" a="1"/>
  <c r="K129" i="2" s="1"/>
  <c r="J129" i="2"/>
  <c r="M128" i="2" a="1"/>
  <c r="M128" i="2" s="1"/>
  <c r="L128" i="2" a="1"/>
  <c r="L128" i="2" s="1"/>
  <c r="K128" i="2" a="1"/>
  <c r="K128" i="2" s="1"/>
  <c r="J128" i="2"/>
  <c r="M127" i="2" a="1"/>
  <c r="M127" i="2" s="1"/>
  <c r="L127" i="2" a="1"/>
  <c r="L127" i="2" s="1"/>
  <c r="K127" i="2" a="1"/>
  <c r="K127" i="2" s="1"/>
  <c r="J127" i="2"/>
  <c r="M126" i="2" a="1"/>
  <c r="M126" i="2" s="1"/>
  <c r="L126" i="2" a="1"/>
  <c r="L126" i="2" s="1"/>
  <c r="K126" i="2" a="1"/>
  <c r="K126" i="2" s="1"/>
  <c r="J126" i="2"/>
  <c r="M125" i="2" a="1"/>
  <c r="M125" i="2" s="1"/>
  <c r="L125" i="2" a="1"/>
  <c r="L125" i="2" s="1"/>
  <c r="K125" i="2" a="1"/>
  <c r="K125" i="2" s="1"/>
  <c r="J125" i="2"/>
  <c r="M124" i="2" a="1"/>
  <c r="M124" i="2" s="1"/>
  <c r="L124" i="2" a="1"/>
  <c r="L124" i="2" s="1"/>
  <c r="K124" i="2" a="1"/>
  <c r="K124" i="2" s="1"/>
  <c r="J124" i="2"/>
  <c r="M123" i="2" a="1"/>
  <c r="M123" i="2" s="1"/>
  <c r="L123" i="2" a="1"/>
  <c r="L123" i="2" s="1"/>
  <c r="K123" i="2" a="1"/>
  <c r="K123" i="2" s="1"/>
  <c r="J123" i="2"/>
  <c r="M122" i="2" a="1"/>
  <c r="M122" i="2" s="1"/>
  <c r="L122" i="2" a="1"/>
  <c r="L122" i="2" s="1"/>
  <c r="K122" i="2" a="1"/>
  <c r="K122" i="2" s="1"/>
  <c r="J122" i="2"/>
  <c r="M121" i="2" a="1"/>
  <c r="M121" i="2" s="1"/>
  <c r="L121" i="2" a="1"/>
  <c r="L121" i="2" s="1"/>
  <c r="K121" i="2" a="1"/>
  <c r="K121" i="2" s="1"/>
  <c r="J121" i="2"/>
  <c r="M120" i="2" a="1"/>
  <c r="M120" i="2" s="1"/>
  <c r="L120" i="2" a="1"/>
  <c r="L120" i="2" s="1"/>
  <c r="K120" i="2" a="1"/>
  <c r="K120" i="2" s="1"/>
  <c r="J120" i="2"/>
  <c r="M119" i="2" a="1"/>
  <c r="M119" i="2" s="1"/>
  <c r="L119" i="2" a="1"/>
  <c r="L119" i="2" s="1"/>
  <c r="K119" i="2" a="1"/>
  <c r="K119" i="2" s="1"/>
  <c r="J119" i="2"/>
  <c r="M118" i="2" a="1"/>
  <c r="M118" i="2" s="1"/>
  <c r="L118" i="2" a="1"/>
  <c r="L118" i="2" s="1"/>
  <c r="K118" i="2" a="1"/>
  <c r="K118" i="2" s="1"/>
  <c r="J118" i="2"/>
  <c r="M117" i="2" a="1"/>
  <c r="M117" i="2" s="1"/>
  <c r="L117" i="2" a="1"/>
  <c r="L117" i="2" s="1"/>
  <c r="K117" i="2" a="1"/>
  <c r="K117" i="2" s="1"/>
  <c r="J117" i="2"/>
  <c r="M116" i="2"/>
  <c r="M116" i="2" a="1"/>
  <c r="L116" i="2" a="1"/>
  <c r="L116" i="2" s="1"/>
  <c r="K116" i="2" a="1"/>
  <c r="K116" i="2" s="1"/>
  <c r="J116" i="2"/>
  <c r="M115" i="2" a="1"/>
  <c r="M115" i="2" s="1"/>
  <c r="L115" i="2" a="1"/>
  <c r="L115" i="2" s="1"/>
  <c r="K115" i="2" a="1"/>
  <c r="K115" i="2" s="1"/>
  <c r="J115" i="2"/>
  <c r="M114" i="2" a="1"/>
  <c r="M114" i="2" s="1"/>
  <c r="L114" i="2" a="1"/>
  <c r="L114" i="2" s="1"/>
  <c r="K114" i="2" a="1"/>
  <c r="K114" i="2" s="1"/>
  <c r="J114" i="2"/>
  <c r="M113" i="2" a="1"/>
  <c r="M113" i="2" s="1"/>
  <c r="L113" i="2" a="1"/>
  <c r="L113" i="2" s="1"/>
  <c r="K113" i="2" a="1"/>
  <c r="K113" i="2" s="1"/>
  <c r="J113" i="2"/>
  <c r="M112" i="2" a="1"/>
  <c r="M112" i="2" s="1"/>
  <c r="L112" i="2" a="1"/>
  <c r="L112" i="2" s="1"/>
  <c r="K112" i="2" a="1"/>
  <c r="K112" i="2" s="1"/>
  <c r="J112" i="2"/>
  <c r="M111" i="2" a="1"/>
  <c r="M111" i="2" s="1"/>
  <c r="L111" i="2" a="1"/>
  <c r="L111" i="2" s="1"/>
  <c r="K111" i="2" a="1"/>
  <c r="K111" i="2" s="1"/>
  <c r="J111" i="2"/>
  <c r="M110" i="2" a="1"/>
  <c r="M110" i="2" s="1"/>
  <c r="L110" i="2" a="1"/>
  <c r="L110" i="2" s="1"/>
  <c r="K110" i="2" a="1"/>
  <c r="K110" i="2" s="1"/>
  <c r="J110" i="2"/>
  <c r="M109" i="2" a="1"/>
  <c r="M109" i="2" s="1"/>
  <c r="L109" i="2" a="1"/>
  <c r="L109" i="2" s="1"/>
  <c r="K109" i="2" a="1"/>
  <c r="K109" i="2" s="1"/>
  <c r="J109" i="2"/>
  <c r="M108" i="2" a="1"/>
  <c r="M108" i="2" s="1"/>
  <c r="L108" i="2" a="1"/>
  <c r="L108" i="2" s="1"/>
  <c r="K108" i="2" a="1"/>
  <c r="K108" i="2" s="1"/>
  <c r="J108" i="2"/>
  <c r="M107" i="2" a="1"/>
  <c r="M107" i="2" s="1"/>
  <c r="L107" i="2" a="1"/>
  <c r="L107" i="2" s="1"/>
  <c r="K107" i="2" a="1"/>
  <c r="K107" i="2" s="1"/>
  <c r="J107" i="2"/>
  <c r="M106" i="2" a="1"/>
  <c r="M106" i="2" s="1"/>
  <c r="L106" i="2" a="1"/>
  <c r="L106" i="2" s="1"/>
  <c r="K106" i="2" a="1"/>
  <c r="K106" i="2" s="1"/>
  <c r="J106" i="2"/>
  <c r="M105" i="2" a="1"/>
  <c r="M105" i="2" s="1"/>
  <c r="L105" i="2" a="1"/>
  <c r="L105" i="2" s="1"/>
  <c r="K105" i="2" a="1"/>
  <c r="K105" i="2" s="1"/>
  <c r="J105" i="2"/>
  <c r="M104" i="2" a="1"/>
  <c r="M104" i="2" s="1"/>
  <c r="L104" i="2" a="1"/>
  <c r="L104" i="2" s="1"/>
  <c r="K104" i="2" a="1"/>
  <c r="K104" i="2" s="1"/>
  <c r="J104" i="2"/>
  <c r="M103" i="2" a="1"/>
  <c r="M103" i="2" s="1"/>
  <c r="L103" i="2" a="1"/>
  <c r="L103" i="2" s="1"/>
  <c r="K103" i="2" a="1"/>
  <c r="K103" i="2" s="1"/>
  <c r="J103" i="2"/>
  <c r="M102" i="2" a="1"/>
  <c r="M102" i="2" s="1"/>
  <c r="L102" i="2" a="1"/>
  <c r="L102" i="2" s="1"/>
  <c r="K102" i="2" a="1"/>
  <c r="K102" i="2" s="1"/>
  <c r="J102" i="2"/>
  <c r="M101" i="2" a="1"/>
  <c r="M101" i="2" s="1"/>
  <c r="L101" i="2" a="1"/>
  <c r="L101" i="2" s="1"/>
  <c r="K101" i="2" a="1"/>
  <c r="K101" i="2" s="1"/>
  <c r="J101" i="2"/>
  <c r="M100" i="2" a="1"/>
  <c r="M100" i="2" s="1"/>
  <c r="L100" i="2" a="1"/>
  <c r="L100" i="2" s="1"/>
  <c r="K100" i="2" a="1"/>
  <c r="K100" i="2" s="1"/>
  <c r="J100" i="2"/>
  <c r="M99" i="2" a="1"/>
  <c r="M99" i="2" s="1"/>
  <c r="L99" i="2" a="1"/>
  <c r="L99" i="2" s="1"/>
  <c r="K99" i="2" a="1"/>
  <c r="K99" i="2" s="1"/>
  <c r="J99" i="2"/>
  <c r="M98" i="2" a="1"/>
  <c r="M98" i="2" s="1"/>
  <c r="L98" i="2" a="1"/>
  <c r="L98" i="2" s="1"/>
  <c r="K98" i="2" a="1"/>
  <c r="K98" i="2" s="1"/>
  <c r="J98" i="2"/>
  <c r="M97" i="2" a="1"/>
  <c r="M97" i="2" s="1"/>
  <c r="L97" i="2" a="1"/>
  <c r="L97" i="2" s="1"/>
  <c r="K97" i="2" a="1"/>
  <c r="K97" i="2" s="1"/>
  <c r="J97" i="2"/>
  <c r="M96" i="2" a="1"/>
  <c r="M96" i="2" s="1"/>
  <c r="L96" i="2" a="1"/>
  <c r="L96" i="2" s="1"/>
  <c r="K96" i="2" a="1"/>
  <c r="K96" i="2" s="1"/>
  <c r="J96" i="2"/>
  <c r="M95" i="2" a="1"/>
  <c r="M95" i="2" s="1"/>
  <c r="L95" i="2" a="1"/>
  <c r="L95" i="2" s="1"/>
  <c r="K95" i="2" a="1"/>
  <c r="K95" i="2" s="1"/>
  <c r="J95" i="2"/>
  <c r="M94" i="2" a="1"/>
  <c r="M94" i="2" s="1"/>
  <c r="L94" i="2" a="1"/>
  <c r="L94" i="2" s="1"/>
  <c r="K94" i="2" a="1"/>
  <c r="K94" i="2" s="1"/>
  <c r="J94" i="2"/>
  <c r="M93" i="2" a="1"/>
  <c r="M93" i="2" s="1"/>
  <c r="L93" i="2" a="1"/>
  <c r="L93" i="2" s="1"/>
  <c r="K93" i="2" a="1"/>
  <c r="K93" i="2" s="1"/>
  <c r="J93" i="2"/>
  <c r="M92" i="2" a="1"/>
  <c r="M92" i="2" s="1"/>
  <c r="L92" i="2" a="1"/>
  <c r="L92" i="2" s="1"/>
  <c r="K92" i="2" a="1"/>
  <c r="K92" i="2" s="1"/>
  <c r="J92" i="2"/>
  <c r="M91" i="2" a="1"/>
  <c r="M91" i="2" s="1"/>
  <c r="L91" i="2" a="1"/>
  <c r="L91" i="2" s="1"/>
  <c r="K91" i="2" a="1"/>
  <c r="K91" i="2" s="1"/>
  <c r="J91" i="2"/>
  <c r="M90" i="2" a="1"/>
  <c r="M90" i="2" s="1"/>
  <c r="L90" i="2" a="1"/>
  <c r="L90" i="2" s="1"/>
  <c r="K90" i="2" a="1"/>
  <c r="K90" i="2" s="1"/>
  <c r="J90" i="2"/>
  <c r="M89" i="2" a="1"/>
  <c r="M89" i="2" s="1"/>
  <c r="L89" i="2" a="1"/>
  <c r="L89" i="2" s="1"/>
  <c r="K89" i="2" a="1"/>
  <c r="K89" i="2" s="1"/>
  <c r="J89" i="2"/>
  <c r="M88" i="2" a="1"/>
  <c r="M88" i="2" s="1"/>
  <c r="L88" i="2" a="1"/>
  <c r="L88" i="2" s="1"/>
  <c r="K88" i="2" a="1"/>
  <c r="K88" i="2" s="1"/>
  <c r="J88" i="2"/>
  <c r="M87" i="2" a="1"/>
  <c r="M87" i="2" s="1"/>
  <c r="L87" i="2" a="1"/>
  <c r="L87" i="2" s="1"/>
  <c r="K87" i="2" a="1"/>
  <c r="K87" i="2" s="1"/>
  <c r="J87" i="2"/>
  <c r="M86" i="2" a="1"/>
  <c r="M86" i="2" s="1"/>
  <c r="L86" i="2" a="1"/>
  <c r="L86" i="2" s="1"/>
  <c r="K86" i="2" a="1"/>
  <c r="K86" i="2" s="1"/>
  <c r="J86" i="2"/>
  <c r="M85" i="2" a="1"/>
  <c r="M85" i="2" s="1"/>
  <c r="L85" i="2" a="1"/>
  <c r="L85" i="2" s="1"/>
  <c r="K85" i="2" a="1"/>
  <c r="K85" i="2" s="1"/>
  <c r="J85" i="2"/>
  <c r="M84" i="2" a="1"/>
  <c r="M84" i="2" s="1"/>
  <c r="L84" i="2" a="1"/>
  <c r="L84" i="2" s="1"/>
  <c r="K84" i="2" a="1"/>
  <c r="K84" i="2" s="1"/>
  <c r="J84" i="2"/>
  <c r="M83" i="2" a="1"/>
  <c r="M83" i="2" s="1"/>
  <c r="L83" i="2" a="1"/>
  <c r="L83" i="2" s="1"/>
  <c r="K83" i="2" a="1"/>
  <c r="K83" i="2" s="1"/>
  <c r="J83" i="2"/>
  <c r="M82" i="2" a="1"/>
  <c r="M82" i="2" s="1"/>
  <c r="L82" i="2" a="1"/>
  <c r="L82" i="2" s="1"/>
  <c r="K82" i="2" a="1"/>
  <c r="K82" i="2" s="1"/>
  <c r="J82" i="2"/>
  <c r="M81" i="2" a="1"/>
  <c r="M81" i="2" s="1"/>
  <c r="L81" i="2" a="1"/>
  <c r="L81" i="2" s="1"/>
  <c r="K81" i="2" a="1"/>
  <c r="K81" i="2" s="1"/>
  <c r="J81" i="2"/>
  <c r="M80" i="2" a="1"/>
  <c r="M80" i="2" s="1"/>
  <c r="L80" i="2" a="1"/>
  <c r="L80" i="2" s="1"/>
  <c r="K80" i="2" a="1"/>
  <c r="K80" i="2" s="1"/>
  <c r="J80" i="2"/>
  <c r="M79" i="2" a="1"/>
  <c r="M79" i="2" s="1"/>
  <c r="L79" i="2" a="1"/>
  <c r="L79" i="2" s="1"/>
  <c r="K79" i="2" a="1"/>
  <c r="K79" i="2" s="1"/>
  <c r="J79" i="2"/>
  <c r="M78" i="2" a="1"/>
  <c r="M78" i="2" s="1"/>
  <c r="L78" i="2" a="1"/>
  <c r="L78" i="2" s="1"/>
  <c r="K78" i="2" a="1"/>
  <c r="K78" i="2" s="1"/>
  <c r="J78" i="2"/>
  <c r="M77" i="2" a="1"/>
  <c r="M77" i="2" s="1"/>
  <c r="L77" i="2" a="1"/>
  <c r="L77" i="2" s="1"/>
  <c r="K77" i="2" a="1"/>
  <c r="K77" i="2" s="1"/>
  <c r="J77" i="2"/>
  <c r="M76" i="2" a="1"/>
  <c r="M76" i="2" s="1"/>
  <c r="L76" i="2" a="1"/>
  <c r="L76" i="2" s="1"/>
  <c r="K76" i="2" a="1"/>
  <c r="K76" i="2" s="1"/>
  <c r="J76" i="2"/>
  <c r="M75" i="2" a="1"/>
  <c r="M75" i="2" s="1"/>
  <c r="L75" i="2" a="1"/>
  <c r="L75" i="2" s="1"/>
  <c r="K75" i="2" a="1"/>
  <c r="K75" i="2" s="1"/>
  <c r="J75" i="2"/>
  <c r="M74" i="2" a="1"/>
  <c r="M74" i="2" s="1"/>
  <c r="L74" i="2" a="1"/>
  <c r="L74" i="2" s="1"/>
  <c r="K74" i="2" a="1"/>
  <c r="K74" i="2" s="1"/>
  <c r="J74" i="2"/>
  <c r="M73" i="2" a="1"/>
  <c r="M73" i="2" s="1"/>
  <c r="L73" i="2" a="1"/>
  <c r="L73" i="2" s="1"/>
  <c r="K73" i="2" a="1"/>
  <c r="K73" i="2" s="1"/>
  <c r="J73" i="2"/>
  <c r="M72" i="2" a="1"/>
  <c r="M72" i="2" s="1"/>
  <c r="L72" i="2" a="1"/>
  <c r="L72" i="2" s="1"/>
  <c r="K72" i="2" a="1"/>
  <c r="K72" i="2" s="1"/>
  <c r="J72" i="2"/>
  <c r="M71" i="2" a="1"/>
  <c r="M71" i="2" s="1"/>
  <c r="L71" i="2" a="1"/>
  <c r="L71" i="2" s="1"/>
  <c r="K71" i="2" a="1"/>
  <c r="K71" i="2" s="1"/>
  <c r="J71" i="2"/>
  <c r="M70" i="2" a="1"/>
  <c r="M70" i="2" s="1"/>
  <c r="L70" i="2" a="1"/>
  <c r="L70" i="2" s="1"/>
  <c r="K70" i="2" a="1"/>
  <c r="K70" i="2" s="1"/>
  <c r="J70" i="2"/>
  <c r="M69" i="2" a="1"/>
  <c r="M69" i="2" s="1"/>
  <c r="L69" i="2" a="1"/>
  <c r="L69" i="2" s="1"/>
  <c r="K69" i="2" a="1"/>
  <c r="K69" i="2" s="1"/>
  <c r="J69" i="2"/>
  <c r="M68" i="2" a="1"/>
  <c r="M68" i="2" s="1"/>
  <c r="L68" i="2" a="1"/>
  <c r="L68" i="2" s="1"/>
  <c r="K68" i="2" a="1"/>
  <c r="K68" i="2" s="1"/>
  <c r="J68" i="2"/>
  <c r="M67" i="2" a="1"/>
  <c r="M67" i="2" s="1"/>
  <c r="L67" i="2" a="1"/>
  <c r="L67" i="2" s="1"/>
  <c r="K67" i="2" a="1"/>
  <c r="K67" i="2" s="1"/>
  <c r="J67" i="2"/>
  <c r="M66" i="2" a="1"/>
  <c r="M66" i="2" s="1"/>
  <c r="L66" i="2" a="1"/>
  <c r="L66" i="2" s="1"/>
  <c r="K66" i="2" a="1"/>
  <c r="K66" i="2" s="1"/>
  <c r="J66" i="2"/>
  <c r="M65" i="2" a="1"/>
  <c r="M65" i="2" s="1"/>
  <c r="L65" i="2" a="1"/>
  <c r="L65" i="2" s="1"/>
  <c r="K65" i="2" a="1"/>
  <c r="K65" i="2" s="1"/>
  <c r="J65" i="2"/>
  <c r="M64" i="2" a="1"/>
  <c r="M64" i="2" s="1"/>
  <c r="L64" i="2" a="1"/>
  <c r="L64" i="2" s="1"/>
  <c r="K64" i="2" a="1"/>
  <c r="K64" i="2" s="1"/>
  <c r="J64" i="2"/>
  <c r="M63" i="2" a="1"/>
  <c r="M63" i="2" s="1"/>
  <c r="L63" i="2" a="1"/>
  <c r="L63" i="2" s="1"/>
  <c r="K63" i="2" a="1"/>
  <c r="K63" i="2" s="1"/>
  <c r="J63" i="2"/>
  <c r="M62" i="2" a="1"/>
  <c r="M62" i="2" s="1"/>
  <c r="L62" i="2" a="1"/>
  <c r="L62" i="2" s="1"/>
  <c r="K62" i="2" a="1"/>
  <c r="K62" i="2" s="1"/>
  <c r="J62" i="2"/>
  <c r="M61" i="2" a="1"/>
  <c r="M61" i="2" s="1"/>
  <c r="L61" i="2" a="1"/>
  <c r="L61" i="2" s="1"/>
  <c r="K61" i="2" a="1"/>
  <c r="K61" i="2" s="1"/>
  <c r="J61" i="2"/>
  <c r="M60" i="2" a="1"/>
  <c r="M60" i="2" s="1"/>
  <c r="L60" i="2" a="1"/>
  <c r="L60" i="2" s="1"/>
  <c r="K60" i="2" a="1"/>
  <c r="K60" i="2" s="1"/>
  <c r="J60" i="2"/>
  <c r="M59" i="2" a="1"/>
  <c r="M59" i="2" s="1"/>
  <c r="L59" i="2" a="1"/>
  <c r="L59" i="2" s="1"/>
  <c r="K59" i="2" a="1"/>
  <c r="K59" i="2" s="1"/>
  <c r="J59" i="2"/>
  <c r="M58" i="2" a="1"/>
  <c r="M58" i="2" s="1"/>
  <c r="L58" i="2" a="1"/>
  <c r="L58" i="2" s="1"/>
  <c r="K58" i="2" a="1"/>
  <c r="K58" i="2" s="1"/>
  <c r="J58" i="2"/>
  <c r="M57" i="2" a="1"/>
  <c r="M57" i="2" s="1"/>
  <c r="L57" i="2" a="1"/>
  <c r="L57" i="2" s="1"/>
  <c r="K57" i="2" a="1"/>
  <c r="K57" i="2" s="1"/>
  <c r="J57" i="2"/>
  <c r="M56" i="2" a="1"/>
  <c r="M56" i="2" s="1"/>
  <c r="L56" i="2" a="1"/>
  <c r="L56" i="2" s="1"/>
  <c r="K56" i="2" a="1"/>
  <c r="K56" i="2" s="1"/>
  <c r="J56" i="2"/>
  <c r="M55" i="2" a="1"/>
  <c r="M55" i="2" s="1"/>
  <c r="L55" i="2" a="1"/>
  <c r="L55" i="2" s="1"/>
  <c r="K55" i="2" a="1"/>
  <c r="K55" i="2" s="1"/>
  <c r="J55" i="2"/>
  <c r="M54" i="2" a="1"/>
  <c r="M54" i="2" s="1"/>
  <c r="L54" i="2" a="1"/>
  <c r="L54" i="2" s="1"/>
  <c r="K54" i="2" a="1"/>
  <c r="K54" i="2" s="1"/>
  <c r="J54" i="2"/>
  <c r="M53" i="2" a="1"/>
  <c r="M53" i="2" s="1"/>
  <c r="L53" i="2" a="1"/>
  <c r="L53" i="2" s="1"/>
  <c r="K53" i="2" a="1"/>
  <c r="K53" i="2" s="1"/>
  <c r="J53" i="2"/>
  <c r="M52" i="2" a="1"/>
  <c r="M52" i="2" s="1"/>
  <c r="L52" i="2" a="1"/>
  <c r="L52" i="2" s="1"/>
  <c r="K52" i="2" a="1"/>
  <c r="K52" i="2" s="1"/>
  <c r="J52" i="2"/>
  <c r="M51" i="2" a="1"/>
  <c r="M51" i="2" s="1"/>
  <c r="L51" i="2" a="1"/>
  <c r="L51" i="2" s="1"/>
  <c r="K51" i="2" a="1"/>
  <c r="K51" i="2" s="1"/>
  <c r="J51" i="2"/>
  <c r="M50" i="2" a="1"/>
  <c r="M50" i="2" s="1"/>
  <c r="L50" i="2" a="1"/>
  <c r="L50" i="2" s="1"/>
  <c r="K50" i="2" a="1"/>
  <c r="K50" i="2" s="1"/>
  <c r="J50" i="2"/>
  <c r="M49" i="2" a="1"/>
  <c r="M49" i="2" s="1"/>
  <c r="L49" i="2" a="1"/>
  <c r="L49" i="2" s="1"/>
  <c r="K49" i="2" a="1"/>
  <c r="K49" i="2" s="1"/>
  <c r="J49" i="2"/>
  <c r="M48" i="2" a="1"/>
  <c r="M48" i="2" s="1"/>
  <c r="L48" i="2" a="1"/>
  <c r="L48" i="2" s="1"/>
  <c r="K48" i="2" a="1"/>
  <c r="K48" i="2" s="1"/>
  <c r="J48" i="2"/>
  <c r="M47" i="2" a="1"/>
  <c r="M47" i="2" s="1"/>
  <c r="L47" i="2" a="1"/>
  <c r="L47" i="2" s="1"/>
  <c r="K47" i="2" a="1"/>
  <c r="K47" i="2" s="1"/>
  <c r="J47" i="2"/>
  <c r="M46" i="2" a="1"/>
  <c r="M46" i="2" s="1"/>
  <c r="L46" i="2" a="1"/>
  <c r="L46" i="2" s="1"/>
  <c r="K46" i="2" a="1"/>
  <c r="K46" i="2" s="1"/>
  <c r="J46" i="2"/>
  <c r="M45" i="2" a="1"/>
  <c r="M45" i="2" s="1"/>
  <c r="L45" i="2" a="1"/>
  <c r="L45" i="2" s="1"/>
  <c r="K45" i="2" a="1"/>
  <c r="K45" i="2" s="1"/>
  <c r="J45" i="2"/>
  <c r="M44" i="2" a="1"/>
  <c r="M44" i="2" s="1"/>
  <c r="L44" i="2" a="1"/>
  <c r="L44" i="2" s="1"/>
  <c r="K44" i="2" a="1"/>
  <c r="K44" i="2" s="1"/>
  <c r="J44" i="2"/>
  <c r="M43" i="2" a="1"/>
  <c r="M43" i="2" s="1"/>
  <c r="L43" i="2" a="1"/>
  <c r="L43" i="2" s="1"/>
  <c r="K43" i="2" a="1"/>
  <c r="K43" i="2" s="1"/>
  <c r="J43" i="2"/>
  <c r="M42" i="2" a="1"/>
  <c r="M42" i="2" s="1"/>
  <c r="L42" i="2" a="1"/>
  <c r="L42" i="2" s="1"/>
  <c r="K42" i="2" a="1"/>
  <c r="K42" i="2" s="1"/>
  <c r="J42" i="2"/>
  <c r="M41" i="2" a="1"/>
  <c r="M41" i="2" s="1"/>
  <c r="L41" i="2" a="1"/>
  <c r="L41" i="2" s="1"/>
  <c r="K41" i="2" a="1"/>
  <c r="K41" i="2" s="1"/>
  <c r="J41" i="2"/>
  <c r="M40" i="2" a="1"/>
  <c r="M40" i="2" s="1"/>
  <c r="L40" i="2" a="1"/>
  <c r="L40" i="2" s="1"/>
  <c r="K40" i="2" a="1"/>
  <c r="K40" i="2" s="1"/>
  <c r="J40" i="2"/>
  <c r="M39" i="2" a="1"/>
  <c r="M39" i="2" s="1"/>
  <c r="L39" i="2" a="1"/>
  <c r="L39" i="2" s="1"/>
  <c r="K39" i="2" a="1"/>
  <c r="K39" i="2" s="1"/>
  <c r="J39" i="2"/>
  <c r="M38" i="2" a="1"/>
  <c r="M38" i="2" s="1"/>
  <c r="L38" i="2" a="1"/>
  <c r="L38" i="2" s="1"/>
  <c r="K38" i="2" a="1"/>
  <c r="K38" i="2" s="1"/>
  <c r="J38" i="2"/>
  <c r="M37" i="2" a="1"/>
  <c r="M37" i="2" s="1"/>
  <c r="L37" i="2" a="1"/>
  <c r="L37" i="2" s="1"/>
  <c r="K37" i="2" a="1"/>
  <c r="K37" i="2" s="1"/>
  <c r="J37" i="2"/>
  <c r="M36" i="2" a="1"/>
  <c r="M36" i="2" s="1"/>
  <c r="L36" i="2" a="1"/>
  <c r="L36" i="2" s="1"/>
  <c r="K36" i="2" a="1"/>
  <c r="K36" i="2" s="1"/>
  <c r="J36" i="2"/>
  <c r="M35" i="2" a="1"/>
  <c r="M35" i="2" s="1"/>
  <c r="L35" i="2" a="1"/>
  <c r="L35" i="2" s="1"/>
  <c r="K35" i="2" a="1"/>
  <c r="K35" i="2" s="1"/>
  <c r="J35" i="2"/>
  <c r="M34" i="2" a="1"/>
  <c r="M34" i="2" s="1"/>
  <c r="L34" i="2" a="1"/>
  <c r="L34" i="2" s="1"/>
  <c r="K34" i="2" a="1"/>
  <c r="K34" i="2" s="1"/>
  <c r="J34" i="2"/>
  <c r="M33" i="2" a="1"/>
  <c r="M33" i="2" s="1"/>
  <c r="L33" i="2" a="1"/>
  <c r="L33" i="2" s="1"/>
  <c r="K33" i="2" a="1"/>
  <c r="K33" i="2" s="1"/>
  <c r="J33" i="2"/>
  <c r="D33" i="2"/>
  <c r="M32" i="2" a="1"/>
  <c r="M32" i="2" s="1"/>
  <c r="L32" i="2" a="1"/>
  <c r="L32" i="2" s="1"/>
  <c r="K32" i="2" a="1"/>
  <c r="K32" i="2" s="1"/>
  <c r="J32" i="2"/>
  <c r="D32" i="2"/>
  <c r="M31" i="2" a="1"/>
  <c r="M31" i="2" s="1"/>
  <c r="L31" i="2" a="1"/>
  <c r="L31" i="2" s="1"/>
  <c r="K31" i="2" a="1"/>
  <c r="K31" i="2" s="1"/>
  <c r="J31" i="2"/>
  <c r="D31" i="2"/>
  <c r="M30" i="2" a="1"/>
  <c r="M30" i="2" s="1"/>
  <c r="L30" i="2" a="1"/>
  <c r="L30" i="2" s="1"/>
  <c r="K30" i="2" a="1"/>
  <c r="K30" i="2" s="1"/>
  <c r="J30" i="2"/>
  <c r="D30" i="2"/>
  <c r="M29" i="2" a="1"/>
  <c r="M29" i="2" s="1"/>
  <c r="L29" i="2" a="1"/>
  <c r="L29" i="2" s="1"/>
  <c r="K29" i="2" a="1"/>
  <c r="K29" i="2" s="1"/>
  <c r="J29" i="2"/>
  <c r="D29" i="2"/>
  <c r="M28" i="2" a="1"/>
  <c r="M28" i="2" s="1"/>
  <c r="L28" i="2" a="1"/>
  <c r="L28" i="2" s="1"/>
  <c r="K28" i="2" a="1"/>
  <c r="K28" i="2" s="1"/>
  <c r="J28" i="2"/>
  <c r="D28" i="2"/>
  <c r="M27" i="2" a="1"/>
  <c r="M27" i="2" s="1"/>
  <c r="L27" i="2" a="1"/>
  <c r="L27" i="2" s="1"/>
  <c r="K27" i="2" a="1"/>
  <c r="K27" i="2" s="1"/>
  <c r="J27" i="2"/>
  <c r="D27" i="2"/>
  <c r="M26" i="2" a="1"/>
  <c r="M26" i="2" s="1"/>
  <c r="L26" i="2" a="1"/>
  <c r="L26" i="2" s="1"/>
  <c r="K26" i="2" a="1"/>
  <c r="K26" i="2" s="1"/>
  <c r="J26" i="2"/>
  <c r="D26" i="2"/>
  <c r="M25" i="2" a="1"/>
  <c r="M25" i="2" s="1"/>
  <c r="L25" i="2" a="1"/>
  <c r="L25" i="2" s="1"/>
  <c r="K25" i="2" a="1"/>
  <c r="K25" i="2" s="1"/>
  <c r="J25" i="2"/>
  <c r="D25" i="2"/>
  <c r="M24" i="2" a="1"/>
  <c r="M24" i="2" s="1"/>
  <c r="L24" i="2" a="1"/>
  <c r="L24" i="2" s="1"/>
  <c r="K24" i="2" a="1"/>
  <c r="K24" i="2" s="1"/>
  <c r="J24" i="2"/>
  <c r="D24" i="2"/>
  <c r="M23" i="2" a="1"/>
  <c r="M23" i="2" s="1"/>
  <c r="L23" i="2" a="1"/>
  <c r="L23" i="2" s="1"/>
  <c r="K23" i="2" a="1"/>
  <c r="K23" i="2" s="1"/>
  <c r="J23" i="2"/>
  <c r="D23" i="2"/>
  <c r="M22" i="2" a="1"/>
  <c r="M22" i="2" s="1"/>
  <c r="L22" i="2" a="1"/>
  <c r="L22" i="2" s="1"/>
  <c r="K22" i="2" a="1"/>
  <c r="K22" i="2" s="1"/>
  <c r="J22" i="2"/>
  <c r="D22" i="2"/>
  <c r="M21" i="2" a="1"/>
  <c r="M21" i="2" s="1"/>
  <c r="L21" i="2" a="1"/>
  <c r="L21" i="2" s="1"/>
  <c r="K21" i="2" a="1"/>
  <c r="K21" i="2" s="1"/>
  <c r="J21" i="2"/>
  <c r="D21" i="2"/>
  <c r="M20" i="2" a="1"/>
  <c r="M20" i="2" s="1"/>
  <c r="L20" i="2" a="1"/>
  <c r="L20" i="2" s="1"/>
  <c r="K20" i="2" a="1"/>
  <c r="K20" i="2" s="1"/>
  <c r="J20" i="2"/>
  <c r="D20" i="2"/>
  <c r="M19" i="2" a="1"/>
  <c r="M19" i="2" s="1"/>
  <c r="L19" i="2" a="1"/>
  <c r="L19" i="2" s="1"/>
  <c r="K19" i="2" a="1"/>
  <c r="K19" i="2" s="1"/>
  <c r="J19" i="2"/>
  <c r="D19" i="2"/>
  <c r="M18" i="2" a="1"/>
  <c r="M18" i="2" s="1"/>
  <c r="L18" i="2" a="1"/>
  <c r="L18" i="2" s="1"/>
  <c r="K18" i="2" a="1"/>
  <c r="K18" i="2" s="1"/>
  <c r="J18" i="2"/>
  <c r="D18" i="2"/>
  <c r="M17" i="2" a="1"/>
  <c r="M17" i="2" s="1"/>
  <c r="L17" i="2" a="1"/>
  <c r="L17" i="2" s="1"/>
  <c r="K17" i="2" a="1"/>
  <c r="K17" i="2" s="1"/>
  <c r="J17" i="2"/>
  <c r="D17" i="2"/>
  <c r="M16" i="2" a="1"/>
  <c r="M16" i="2" s="1"/>
  <c r="L16" i="2" a="1"/>
  <c r="L16" i="2" s="1"/>
  <c r="K16" i="2" a="1"/>
  <c r="K16" i="2" s="1"/>
  <c r="J16" i="2"/>
  <c r="D16" i="2"/>
  <c r="M15" i="2" a="1"/>
  <c r="M15" i="2" s="1"/>
  <c r="L15" i="2" a="1"/>
  <c r="L15" i="2" s="1"/>
  <c r="K15" i="2" a="1"/>
  <c r="K15" i="2" s="1"/>
  <c r="J15" i="2"/>
  <c r="D15" i="2"/>
  <c r="M14" i="2" a="1"/>
  <c r="M14" i="2" s="1"/>
  <c r="L14" i="2" a="1"/>
  <c r="L14" i="2" s="1"/>
  <c r="K14" i="2" a="1"/>
  <c r="K14" i="2" s="1"/>
  <c r="J14" i="2"/>
  <c r="D14" i="2"/>
  <c r="M13" i="2" a="1"/>
  <c r="M13" i="2" s="1"/>
  <c r="L13" i="2" a="1"/>
  <c r="L13" i="2" s="1"/>
  <c r="K13" i="2" a="1"/>
  <c r="K13" i="2" s="1"/>
  <c r="J13" i="2"/>
  <c r="D13" i="2"/>
  <c r="M12" i="2" a="1"/>
  <c r="M12" i="2" s="1"/>
  <c r="L12" i="2" a="1"/>
  <c r="L12" i="2" s="1"/>
  <c r="K12" i="2" a="1"/>
  <c r="K12" i="2" s="1"/>
  <c r="J12" i="2"/>
  <c r="D12" i="2"/>
  <c r="M11" i="2" a="1"/>
  <c r="M11" i="2" s="1"/>
  <c r="L11" i="2" a="1"/>
  <c r="L11" i="2" s="1"/>
  <c r="K11" i="2" a="1"/>
  <c r="K11" i="2" s="1"/>
  <c r="J11" i="2"/>
  <c r="D11" i="2"/>
  <c r="M10" i="2" a="1"/>
  <c r="M10" i="2" s="1"/>
  <c r="L10" i="2" a="1"/>
  <c r="L10" i="2" s="1"/>
  <c r="K10" i="2" a="1"/>
  <c r="K10" i="2" s="1"/>
  <c r="J10" i="2"/>
  <c r="D10" i="2"/>
  <c r="M9" i="2" a="1"/>
  <c r="M9" i="2" s="1"/>
  <c r="L9" i="2" a="1"/>
  <c r="L9" i="2" s="1"/>
  <c r="K9" i="2" a="1"/>
  <c r="K9" i="2" s="1"/>
  <c r="J9" i="2"/>
  <c r="D9" i="2"/>
  <c r="M8" i="2" a="1"/>
  <c r="M8" i="2" s="1"/>
  <c r="L8" i="2" a="1"/>
  <c r="L8" i="2" s="1"/>
  <c r="K8" i="2" a="1"/>
  <c r="K8" i="2" s="1"/>
  <c r="J8" i="2"/>
  <c r="D8" i="2"/>
  <c r="M7" i="2" a="1"/>
  <c r="M7" i="2" s="1"/>
  <c r="L7" i="2" a="1"/>
  <c r="L7" i="2" s="1"/>
  <c r="K7" i="2" a="1"/>
  <c r="K7" i="2" s="1"/>
  <c r="J7" i="2"/>
  <c r="D7" i="2"/>
  <c r="M6" i="2" a="1"/>
  <c r="M6" i="2" s="1"/>
  <c r="L6" i="2" a="1"/>
  <c r="L6" i="2" s="1"/>
  <c r="K6" i="2" a="1"/>
  <c r="K6" i="2" s="1"/>
  <c r="J6" i="2"/>
  <c r="D6" i="2"/>
  <c r="M5" i="2" a="1"/>
  <c r="M5" i="2" s="1"/>
  <c r="L5" i="2" a="1"/>
  <c r="L5" i="2" s="1"/>
  <c r="K5" i="2" a="1"/>
  <c r="K5" i="2" s="1"/>
  <c r="J5" i="2"/>
  <c r="D5" i="2"/>
  <c r="M4" i="2" a="1"/>
  <c r="M4" i="2" s="1"/>
  <c r="L4" i="2" a="1"/>
  <c r="L4" i="2" s="1"/>
  <c r="K4" i="2" a="1"/>
  <c r="K4" i="2" s="1"/>
  <c r="J4" i="2"/>
  <c r="D4" i="2"/>
  <c r="M3" i="2" a="1"/>
  <c r="M3" i="2" s="1"/>
  <c r="L3" i="2" a="1"/>
  <c r="L3" i="2" s="1"/>
  <c r="K3" i="2" a="1"/>
  <c r="K3" i="2" s="1"/>
  <c r="J3" i="2"/>
  <c r="D3" i="2"/>
  <c r="B22" i="3" l="1"/>
  <c r="B52" i="3"/>
  <c r="B53" i="3" s="1"/>
  <c r="J1289" i="2"/>
  <c r="L778" i="2" a="1"/>
  <c r="L778" i="2" s="1"/>
  <c r="K774" i="2" a="1"/>
  <c r="K774" i="2" s="1"/>
  <c r="K775" i="2" a="1"/>
  <c r="K775" i="2" s="1"/>
  <c r="K776" i="2" a="1"/>
  <c r="K776" i="2" s="1"/>
  <c r="J777" i="2"/>
  <c r="L774" i="2" a="1"/>
  <c r="L774" i="2" s="1"/>
  <c r="L775" i="2" a="1"/>
  <c r="L775" i="2" s="1"/>
  <c r="L776" i="2" a="1"/>
  <c r="L776" i="2" s="1"/>
  <c r="K777" i="2" a="1"/>
  <c r="K777" i="2" s="1"/>
  <c r="M776" i="2" a="1"/>
  <c r="M776" i="2" s="1"/>
  <c r="M782" i="2" a="1"/>
  <c r="M782" i="2" s="1"/>
  <c r="K778" i="2" a="1"/>
  <c r="K778" i="2" s="1"/>
  <c r="L780" i="2" a="1"/>
  <c r="L780" i="2" s="1"/>
  <c r="K782" i="2" a="1"/>
  <c r="K782" i="2" s="1"/>
  <c r="M778" i="2" a="1"/>
  <c r="M778" i="2" s="1"/>
  <c r="J778" i="2"/>
  <c r="M777" i="2" a="1"/>
  <c r="M777" i="2" s="1"/>
  <c r="M780" i="2" a="1"/>
  <c r="M780" i="2" s="1"/>
  <c r="K780" i="2" a="1"/>
  <c r="K780" i="2" s="1"/>
  <c r="L782" i="2" a="1"/>
  <c r="L782" i="2" s="1"/>
  <c r="K784" i="2" a="1"/>
  <c r="K784" i="2" s="1"/>
  <c r="M784" i="2" a="1"/>
  <c r="M784" i="2" s="1"/>
  <c r="L786" i="2" a="1"/>
  <c r="L786" i="2" s="1"/>
  <c r="K788" i="2" a="1"/>
  <c r="K788" i="2" s="1"/>
  <c r="M788" i="2" a="1"/>
  <c r="M788" i="2" s="1"/>
  <c r="L790" i="2" a="1"/>
  <c r="L790" i="2" s="1"/>
  <c r="K792" i="2" a="1"/>
  <c r="K792" i="2" s="1"/>
  <c r="M792" i="2" a="1"/>
  <c r="M792" i="2" s="1"/>
  <c r="L794" i="2" a="1"/>
  <c r="L794" i="2" s="1"/>
  <c r="K796" i="2" a="1"/>
  <c r="K796" i="2" s="1"/>
  <c r="M796" i="2" a="1"/>
  <c r="M796" i="2" s="1"/>
  <c r="L798" i="2" a="1"/>
  <c r="L798" i="2" s="1"/>
  <c r="K800" i="2" a="1"/>
  <c r="K800" i="2" s="1"/>
  <c r="M800" i="2" a="1"/>
  <c r="M800" i="2" s="1"/>
  <c r="L802" i="2" a="1"/>
  <c r="L802" i="2" s="1"/>
  <c r="K804" i="2" a="1"/>
  <c r="K804" i="2" s="1"/>
  <c r="M804" i="2" a="1"/>
  <c r="M804" i="2" s="1"/>
  <c r="L806" i="2" a="1"/>
  <c r="L806" i="2" s="1"/>
  <c r="K808" i="2" a="1"/>
  <c r="K808" i="2" s="1"/>
  <c r="M808" i="2" a="1"/>
  <c r="M808" i="2" s="1"/>
  <c r="L810" i="2" a="1"/>
  <c r="L810" i="2" s="1"/>
  <c r="K812" i="2" a="1"/>
  <c r="K812" i="2" s="1"/>
  <c r="M812" i="2" a="1"/>
  <c r="M812" i="2" s="1"/>
  <c r="L814" i="2" a="1"/>
  <c r="L814" i="2" s="1"/>
  <c r="K816" i="2" a="1"/>
  <c r="K816" i="2" s="1"/>
  <c r="M816" i="2" a="1"/>
  <c r="M816" i="2" s="1"/>
  <c r="L818" i="2" a="1"/>
  <c r="L818" i="2" s="1"/>
  <c r="K820" i="2" a="1"/>
  <c r="K820" i="2" s="1"/>
  <c r="M820" i="2" a="1"/>
  <c r="M820" i="2" s="1"/>
  <c r="L822" i="2" a="1"/>
  <c r="L822" i="2" s="1"/>
  <c r="K824" i="2" a="1"/>
  <c r="K824" i="2" s="1"/>
  <c r="M824" i="2" a="1"/>
  <c r="M824" i="2" s="1"/>
  <c r="L826" i="2" a="1"/>
  <c r="L826" i="2" s="1"/>
  <c r="K828" i="2" a="1"/>
  <c r="K828" i="2" s="1"/>
  <c r="M828" i="2" a="1"/>
  <c r="M828" i="2" s="1"/>
  <c r="L830" i="2" a="1"/>
  <c r="L830" i="2" s="1"/>
  <c r="K832" i="2" a="1"/>
  <c r="K832" i="2" s="1"/>
  <c r="M832" i="2" a="1"/>
  <c r="M832" i="2" s="1"/>
  <c r="L834" i="2" a="1"/>
  <c r="L834" i="2" s="1"/>
  <c r="K836" i="2" a="1"/>
  <c r="K836" i="2" s="1"/>
  <c r="M836" i="2" a="1"/>
  <c r="M836" i="2" s="1"/>
  <c r="L838" i="2" a="1"/>
  <c r="L838" i="2" s="1"/>
  <c r="K840" i="2" a="1"/>
  <c r="K840" i="2" s="1"/>
  <c r="M840" i="2" a="1"/>
  <c r="M840" i="2" s="1"/>
  <c r="L842" i="2" a="1"/>
  <c r="L842" i="2" s="1"/>
  <c r="K844" i="2" a="1"/>
  <c r="K844" i="2" s="1"/>
  <c r="M844" i="2" a="1"/>
  <c r="M844" i="2" s="1"/>
  <c r="L846" i="2" a="1"/>
  <c r="L846" i="2" s="1"/>
  <c r="K848" i="2" a="1"/>
  <c r="K848" i="2" s="1"/>
  <c r="M848" i="2" a="1"/>
  <c r="M848" i="2" s="1"/>
  <c r="L850" i="2" a="1"/>
  <c r="L850" i="2" s="1"/>
  <c r="K852" i="2" a="1"/>
  <c r="K852" i="2" s="1"/>
  <c r="M852" i="2" a="1"/>
  <c r="M852" i="2" s="1"/>
  <c r="L854" i="2" a="1"/>
  <c r="L854" i="2" s="1"/>
  <c r="K856" i="2" a="1"/>
  <c r="K856" i="2" s="1"/>
  <c r="M856" i="2" a="1"/>
  <c r="M856" i="2" s="1"/>
  <c r="L858" i="2" a="1"/>
  <c r="L858" i="2" s="1"/>
  <c r="K860" i="2" a="1"/>
  <c r="K860" i="2" s="1"/>
  <c r="M860" i="2" a="1"/>
  <c r="M860" i="2" s="1"/>
  <c r="L862" i="2" a="1"/>
  <c r="L862" i="2" s="1"/>
  <c r="K864" i="2" a="1"/>
  <c r="K864" i="2" s="1"/>
  <c r="M864" i="2" a="1"/>
  <c r="M864" i="2" s="1"/>
  <c r="K866" i="2" a="1"/>
  <c r="K866" i="2" s="1"/>
  <c r="M867" i="2" a="1"/>
  <c r="M867" i="2" s="1"/>
  <c r="M870" i="2" a="1"/>
  <c r="M870" i="2" s="1"/>
  <c r="L872" i="2" a="1"/>
  <c r="L872" i="2" s="1"/>
  <c r="K873" i="2" a="1"/>
  <c r="K873" i="2" s="1"/>
  <c r="L875" i="2" a="1"/>
  <c r="L875" i="2" s="1"/>
  <c r="M877" i="2" a="1"/>
  <c r="M877" i="2" s="1"/>
  <c r="K879" i="2" a="1"/>
  <c r="K879" i="2" s="1"/>
  <c r="L881" i="2" a="1"/>
  <c r="L881" i="2" s="1"/>
  <c r="K882" i="2" a="1"/>
  <c r="K882" i="2" s="1"/>
  <c r="M883" i="2" a="1"/>
  <c r="M883" i="2" s="1"/>
  <c r="M886" i="2" a="1"/>
  <c r="M886" i="2" s="1"/>
  <c r="L888" i="2" a="1"/>
  <c r="L888" i="2" s="1"/>
  <c r="K893" i="2" a="1"/>
  <c r="K893" i="2" s="1"/>
  <c r="M894" i="2" a="1"/>
  <c r="M894" i="2" s="1"/>
  <c r="L895" i="2" a="1"/>
  <c r="L895" i="2" s="1"/>
  <c r="K897" i="2" a="1"/>
  <c r="K897" i="2" s="1"/>
  <c r="M898" i="2" a="1"/>
  <c r="M898" i="2" s="1"/>
  <c r="L899" i="2" a="1"/>
  <c r="L899" i="2" s="1"/>
  <c r="K901" i="2" a="1"/>
  <c r="K901" i="2" s="1"/>
  <c r="M902" i="2" a="1"/>
  <c r="M902" i="2" s="1"/>
  <c r="L903" i="2" a="1"/>
  <c r="L903" i="2" s="1"/>
  <c r="K905" i="2" a="1"/>
  <c r="K905" i="2" s="1"/>
  <c r="M906" i="2" a="1"/>
  <c r="M906" i="2" s="1"/>
  <c r="L907" i="2" a="1"/>
  <c r="L907" i="2" s="1"/>
  <c r="K909" i="2" a="1"/>
  <c r="K909" i="2" s="1"/>
  <c r="M910" i="2" a="1"/>
  <c r="M910" i="2" s="1"/>
  <c r="L911" i="2" a="1"/>
  <c r="L911" i="2" s="1"/>
  <c r="K913" i="2" a="1"/>
  <c r="K913" i="2" s="1"/>
  <c r="M914" i="2" a="1"/>
  <c r="M914" i="2" s="1"/>
  <c r="L915" i="2" a="1"/>
  <c r="L915" i="2" s="1"/>
  <c r="M917" i="2" a="1"/>
  <c r="M917" i="2" s="1"/>
  <c r="K918" i="2" a="1"/>
  <c r="K918" i="2" s="1"/>
  <c r="K921" i="2" a="1"/>
  <c r="K921" i="2" s="1"/>
  <c r="L922" i="2" a="1"/>
  <c r="L922" i="2" s="1"/>
  <c r="K929" i="2" a="1"/>
  <c r="K929" i="2" s="1"/>
  <c r="L930" i="2" a="1"/>
  <c r="L930" i="2" s="1"/>
  <c r="L779" i="2" a="1"/>
  <c r="L779" i="2" s="1"/>
  <c r="K781" i="2" a="1"/>
  <c r="K781" i="2" s="1"/>
  <c r="M781" i="2" a="1"/>
  <c r="M781" i="2" s="1"/>
  <c r="L783" i="2" a="1"/>
  <c r="L783" i="2" s="1"/>
  <c r="K785" i="2" a="1"/>
  <c r="K785" i="2" s="1"/>
  <c r="M785" i="2" a="1"/>
  <c r="M785" i="2" s="1"/>
  <c r="L787" i="2" a="1"/>
  <c r="L787" i="2" s="1"/>
  <c r="K789" i="2" a="1"/>
  <c r="K789" i="2" s="1"/>
  <c r="M789" i="2" a="1"/>
  <c r="M789" i="2" s="1"/>
  <c r="L791" i="2" a="1"/>
  <c r="L791" i="2" s="1"/>
  <c r="K793" i="2" a="1"/>
  <c r="K793" i="2" s="1"/>
  <c r="M793" i="2" a="1"/>
  <c r="M793" i="2" s="1"/>
  <c r="L795" i="2" a="1"/>
  <c r="L795" i="2" s="1"/>
  <c r="K797" i="2" a="1"/>
  <c r="K797" i="2" s="1"/>
  <c r="M797" i="2" a="1"/>
  <c r="M797" i="2" s="1"/>
  <c r="L799" i="2" a="1"/>
  <c r="L799" i="2" s="1"/>
  <c r="K801" i="2" a="1"/>
  <c r="K801" i="2" s="1"/>
  <c r="M801" i="2" a="1"/>
  <c r="M801" i="2" s="1"/>
  <c r="L803" i="2" a="1"/>
  <c r="L803" i="2" s="1"/>
  <c r="K805" i="2" a="1"/>
  <c r="K805" i="2" s="1"/>
  <c r="M805" i="2" a="1"/>
  <c r="M805" i="2" s="1"/>
  <c r="L807" i="2" a="1"/>
  <c r="L807" i="2" s="1"/>
  <c r="K809" i="2" a="1"/>
  <c r="K809" i="2" s="1"/>
  <c r="M809" i="2" a="1"/>
  <c r="M809" i="2" s="1"/>
  <c r="L811" i="2" a="1"/>
  <c r="L811" i="2" s="1"/>
  <c r="K813" i="2" a="1"/>
  <c r="K813" i="2" s="1"/>
  <c r="M813" i="2" a="1"/>
  <c r="M813" i="2" s="1"/>
  <c r="L815" i="2" a="1"/>
  <c r="L815" i="2" s="1"/>
  <c r="K817" i="2" a="1"/>
  <c r="K817" i="2" s="1"/>
  <c r="M817" i="2" a="1"/>
  <c r="M817" i="2" s="1"/>
  <c r="L819" i="2" a="1"/>
  <c r="L819" i="2" s="1"/>
  <c r="K821" i="2" a="1"/>
  <c r="K821" i="2" s="1"/>
  <c r="M821" i="2" a="1"/>
  <c r="M821" i="2" s="1"/>
  <c r="L823" i="2" a="1"/>
  <c r="L823" i="2" s="1"/>
  <c r="K825" i="2" a="1"/>
  <c r="K825" i="2" s="1"/>
  <c r="M825" i="2" a="1"/>
  <c r="M825" i="2" s="1"/>
  <c r="L827" i="2" a="1"/>
  <c r="L827" i="2" s="1"/>
  <c r="K829" i="2" a="1"/>
  <c r="K829" i="2" s="1"/>
  <c r="M829" i="2" a="1"/>
  <c r="M829" i="2" s="1"/>
  <c r="L831" i="2" a="1"/>
  <c r="L831" i="2" s="1"/>
  <c r="K833" i="2" a="1"/>
  <c r="K833" i="2" s="1"/>
  <c r="M833" i="2" a="1"/>
  <c r="M833" i="2" s="1"/>
  <c r="L835" i="2" a="1"/>
  <c r="L835" i="2" s="1"/>
  <c r="K837" i="2" a="1"/>
  <c r="K837" i="2" s="1"/>
  <c r="M837" i="2" a="1"/>
  <c r="M837" i="2" s="1"/>
  <c r="L839" i="2" a="1"/>
  <c r="L839" i="2" s="1"/>
  <c r="K841" i="2" a="1"/>
  <c r="K841" i="2" s="1"/>
  <c r="M841" i="2" a="1"/>
  <c r="M841" i="2" s="1"/>
  <c r="L843" i="2" a="1"/>
  <c r="L843" i="2" s="1"/>
  <c r="K845" i="2" a="1"/>
  <c r="K845" i="2" s="1"/>
  <c r="M845" i="2" a="1"/>
  <c r="M845" i="2" s="1"/>
  <c r="L847" i="2" a="1"/>
  <c r="L847" i="2" s="1"/>
  <c r="K849" i="2" a="1"/>
  <c r="K849" i="2" s="1"/>
  <c r="M849" i="2" a="1"/>
  <c r="M849" i="2" s="1"/>
  <c r="L851" i="2" a="1"/>
  <c r="L851" i="2" s="1"/>
  <c r="K853" i="2" a="1"/>
  <c r="K853" i="2" s="1"/>
  <c r="M853" i="2" a="1"/>
  <c r="M853" i="2" s="1"/>
  <c r="L855" i="2" a="1"/>
  <c r="L855" i="2" s="1"/>
  <c r="K857" i="2" a="1"/>
  <c r="K857" i="2" s="1"/>
  <c r="M857" i="2" a="1"/>
  <c r="M857" i="2" s="1"/>
  <c r="L859" i="2" a="1"/>
  <c r="L859" i="2" s="1"/>
  <c r="K861" i="2" a="1"/>
  <c r="K861" i="2" s="1"/>
  <c r="M861" i="2" a="1"/>
  <c r="M861" i="2" s="1"/>
  <c r="L863" i="2" a="1"/>
  <c r="L863" i="2" s="1"/>
  <c r="K865" i="2" a="1"/>
  <c r="K865" i="2" s="1"/>
  <c r="M865" i="2" a="1"/>
  <c r="M865" i="2" s="1"/>
  <c r="K867" i="2" a="1"/>
  <c r="K867" i="2" s="1"/>
  <c r="L869" i="2" a="1"/>
  <c r="L869" i="2" s="1"/>
  <c r="K870" i="2" a="1"/>
  <c r="K870" i="2" s="1"/>
  <c r="M871" i="2" a="1"/>
  <c r="M871" i="2" s="1"/>
  <c r="M874" i="2" a="1"/>
  <c r="M874" i="2" s="1"/>
  <c r="L876" i="2" a="1"/>
  <c r="L876" i="2" s="1"/>
  <c r="K877" i="2" a="1"/>
  <c r="K877" i="2" s="1"/>
  <c r="L879" i="2" a="1"/>
  <c r="L879" i="2" s="1"/>
  <c r="M881" i="2" a="1"/>
  <c r="M881" i="2" s="1"/>
  <c r="K883" i="2" a="1"/>
  <c r="K883" i="2" s="1"/>
  <c r="L885" i="2" a="1"/>
  <c r="L885" i="2" s="1"/>
  <c r="K886" i="2" a="1"/>
  <c r="K886" i="2" s="1"/>
  <c r="M887" i="2" a="1"/>
  <c r="M887" i="2" s="1"/>
  <c r="L889" i="2" a="1"/>
  <c r="L889" i="2" s="1"/>
  <c r="L892" i="2" a="1"/>
  <c r="L892" i="2" s="1"/>
  <c r="K894" i="2" a="1"/>
  <c r="K894" i="2" s="1"/>
  <c r="M895" i="2" a="1"/>
  <c r="M895" i="2" s="1"/>
  <c r="L896" i="2" a="1"/>
  <c r="L896" i="2" s="1"/>
  <c r="K898" i="2" a="1"/>
  <c r="K898" i="2" s="1"/>
  <c r="M899" i="2" a="1"/>
  <c r="M899" i="2" s="1"/>
  <c r="L900" i="2" a="1"/>
  <c r="L900" i="2" s="1"/>
  <c r="K902" i="2" a="1"/>
  <c r="K902" i="2" s="1"/>
  <c r="M903" i="2" a="1"/>
  <c r="M903" i="2" s="1"/>
  <c r="L904" i="2" a="1"/>
  <c r="L904" i="2" s="1"/>
  <c r="K906" i="2" a="1"/>
  <c r="K906" i="2" s="1"/>
  <c r="M907" i="2" a="1"/>
  <c r="M907" i="2" s="1"/>
  <c r="L908" i="2" a="1"/>
  <c r="L908" i="2" s="1"/>
  <c r="K910" i="2" a="1"/>
  <c r="K910" i="2" s="1"/>
  <c r="M911" i="2" a="1"/>
  <c r="M911" i="2" s="1"/>
  <c r="L912" i="2" a="1"/>
  <c r="L912" i="2" s="1"/>
  <c r="K914" i="2" a="1"/>
  <c r="K914" i="2" s="1"/>
  <c r="M915" i="2" a="1"/>
  <c r="M915" i="2" s="1"/>
  <c r="L916" i="2" a="1"/>
  <c r="L916" i="2" s="1"/>
  <c r="L918" i="2" a="1"/>
  <c r="L918" i="2" s="1"/>
  <c r="K920" i="2" a="1"/>
  <c r="K920" i="2" s="1"/>
  <c r="M921" i="2" a="1"/>
  <c r="M921" i="2" s="1"/>
  <c r="M922" i="2" a="1"/>
  <c r="M922" i="2" s="1"/>
  <c r="L923" i="2" a="1"/>
  <c r="L923" i="2" s="1"/>
  <c r="K928" i="2" a="1"/>
  <c r="K928" i="2" s="1"/>
  <c r="M929" i="2" a="1"/>
  <c r="M929" i="2" s="1"/>
  <c r="M930" i="2" a="1"/>
  <c r="M930" i="2" s="1"/>
  <c r="L784" i="2" a="1"/>
  <c r="L784" i="2" s="1"/>
  <c r="K786" i="2" a="1"/>
  <c r="K786" i="2" s="1"/>
  <c r="M786" i="2" a="1"/>
  <c r="M786" i="2" s="1"/>
  <c r="L788" i="2" a="1"/>
  <c r="L788" i="2" s="1"/>
  <c r="K790" i="2" a="1"/>
  <c r="K790" i="2" s="1"/>
  <c r="M790" i="2" a="1"/>
  <c r="M790" i="2" s="1"/>
  <c r="L792" i="2" a="1"/>
  <c r="L792" i="2" s="1"/>
  <c r="K794" i="2" a="1"/>
  <c r="K794" i="2" s="1"/>
  <c r="M794" i="2" a="1"/>
  <c r="M794" i="2" s="1"/>
  <c r="L796" i="2" a="1"/>
  <c r="L796" i="2" s="1"/>
  <c r="K798" i="2" a="1"/>
  <c r="K798" i="2" s="1"/>
  <c r="M798" i="2" a="1"/>
  <c r="M798" i="2" s="1"/>
  <c r="L800" i="2" a="1"/>
  <c r="L800" i="2" s="1"/>
  <c r="K802" i="2" a="1"/>
  <c r="K802" i="2" s="1"/>
  <c r="M802" i="2" a="1"/>
  <c r="M802" i="2" s="1"/>
  <c r="L804" i="2" a="1"/>
  <c r="L804" i="2" s="1"/>
  <c r="K806" i="2" a="1"/>
  <c r="K806" i="2" s="1"/>
  <c r="M806" i="2" a="1"/>
  <c r="M806" i="2" s="1"/>
  <c r="L808" i="2" a="1"/>
  <c r="L808" i="2" s="1"/>
  <c r="K810" i="2" a="1"/>
  <c r="K810" i="2" s="1"/>
  <c r="M810" i="2" a="1"/>
  <c r="M810" i="2" s="1"/>
  <c r="L812" i="2" a="1"/>
  <c r="L812" i="2" s="1"/>
  <c r="K814" i="2" a="1"/>
  <c r="K814" i="2" s="1"/>
  <c r="M814" i="2" a="1"/>
  <c r="M814" i="2" s="1"/>
  <c r="L816" i="2" a="1"/>
  <c r="L816" i="2" s="1"/>
  <c r="K818" i="2" a="1"/>
  <c r="K818" i="2" s="1"/>
  <c r="M818" i="2" a="1"/>
  <c r="M818" i="2" s="1"/>
  <c r="L820" i="2" a="1"/>
  <c r="L820" i="2" s="1"/>
  <c r="K822" i="2" a="1"/>
  <c r="K822" i="2" s="1"/>
  <c r="M822" i="2" a="1"/>
  <c r="M822" i="2" s="1"/>
  <c r="L824" i="2" a="1"/>
  <c r="L824" i="2" s="1"/>
  <c r="K826" i="2" a="1"/>
  <c r="K826" i="2" s="1"/>
  <c r="M826" i="2" a="1"/>
  <c r="M826" i="2" s="1"/>
  <c r="L828" i="2" a="1"/>
  <c r="L828" i="2" s="1"/>
  <c r="K830" i="2" a="1"/>
  <c r="K830" i="2" s="1"/>
  <c r="M830" i="2" a="1"/>
  <c r="M830" i="2" s="1"/>
  <c r="L832" i="2" a="1"/>
  <c r="L832" i="2" s="1"/>
  <c r="K834" i="2" a="1"/>
  <c r="K834" i="2" s="1"/>
  <c r="M834" i="2" a="1"/>
  <c r="M834" i="2" s="1"/>
  <c r="L836" i="2" a="1"/>
  <c r="L836" i="2" s="1"/>
  <c r="K838" i="2" a="1"/>
  <c r="K838" i="2" s="1"/>
  <c r="M838" i="2" a="1"/>
  <c r="M838" i="2" s="1"/>
  <c r="L840" i="2" a="1"/>
  <c r="L840" i="2" s="1"/>
  <c r="K842" i="2" a="1"/>
  <c r="K842" i="2" s="1"/>
  <c r="M842" i="2" a="1"/>
  <c r="M842" i="2" s="1"/>
  <c r="L844" i="2" a="1"/>
  <c r="L844" i="2" s="1"/>
  <c r="K846" i="2" a="1"/>
  <c r="K846" i="2" s="1"/>
  <c r="M846" i="2" a="1"/>
  <c r="M846" i="2" s="1"/>
  <c r="L848" i="2" a="1"/>
  <c r="L848" i="2" s="1"/>
  <c r="K850" i="2" a="1"/>
  <c r="K850" i="2" s="1"/>
  <c r="M850" i="2" a="1"/>
  <c r="M850" i="2" s="1"/>
  <c r="L852" i="2" a="1"/>
  <c r="L852" i="2" s="1"/>
  <c r="K854" i="2" a="1"/>
  <c r="K854" i="2" s="1"/>
  <c r="M854" i="2" a="1"/>
  <c r="M854" i="2" s="1"/>
  <c r="L856" i="2" a="1"/>
  <c r="L856" i="2" s="1"/>
  <c r="K858" i="2" a="1"/>
  <c r="K858" i="2" s="1"/>
  <c r="M858" i="2" a="1"/>
  <c r="M858" i="2" s="1"/>
  <c r="L860" i="2" a="1"/>
  <c r="L860" i="2" s="1"/>
  <c r="K862" i="2" a="1"/>
  <c r="K862" i="2" s="1"/>
  <c r="M862" i="2" a="1"/>
  <c r="M862" i="2" s="1"/>
  <c r="L864" i="2" a="1"/>
  <c r="L864" i="2" s="1"/>
  <c r="L867" i="2" a="1"/>
  <c r="L867" i="2" s="1"/>
  <c r="M869" i="2" a="1"/>
  <c r="M869" i="2" s="1"/>
  <c r="K871" i="2" a="1"/>
  <c r="K871" i="2" s="1"/>
  <c r="L873" i="2" a="1"/>
  <c r="L873" i="2" s="1"/>
  <c r="K874" i="2" a="1"/>
  <c r="K874" i="2" s="1"/>
  <c r="M875" i="2" a="1"/>
  <c r="M875" i="2" s="1"/>
  <c r="M878" i="2" a="1"/>
  <c r="M878" i="2" s="1"/>
  <c r="L880" i="2" a="1"/>
  <c r="L880" i="2" s="1"/>
  <c r="K881" i="2" a="1"/>
  <c r="K881" i="2" s="1"/>
  <c r="L883" i="2" a="1"/>
  <c r="L883" i="2" s="1"/>
  <c r="M885" i="2" a="1"/>
  <c r="M885" i="2" s="1"/>
  <c r="K887" i="2" a="1"/>
  <c r="K887" i="2" s="1"/>
  <c r="L890" i="2" a="1"/>
  <c r="L890" i="2" s="1"/>
  <c r="M892" i="2" a="1"/>
  <c r="M892" i="2" s="1"/>
  <c r="L893" i="2" a="1"/>
  <c r="L893" i="2" s="1"/>
  <c r="K895" i="2" a="1"/>
  <c r="K895" i="2" s="1"/>
  <c r="M896" i="2" a="1"/>
  <c r="M896" i="2" s="1"/>
  <c r="L897" i="2" a="1"/>
  <c r="L897" i="2" s="1"/>
  <c r="K899" i="2" a="1"/>
  <c r="K899" i="2" s="1"/>
  <c r="M900" i="2" a="1"/>
  <c r="M900" i="2" s="1"/>
  <c r="L901" i="2" a="1"/>
  <c r="L901" i="2" s="1"/>
  <c r="K903" i="2" a="1"/>
  <c r="K903" i="2" s="1"/>
  <c r="M904" i="2" a="1"/>
  <c r="M904" i="2" s="1"/>
  <c r="L905" i="2" a="1"/>
  <c r="L905" i="2" s="1"/>
  <c r="K907" i="2" a="1"/>
  <c r="K907" i="2" s="1"/>
  <c r="M908" i="2" a="1"/>
  <c r="M908" i="2" s="1"/>
  <c r="L909" i="2" a="1"/>
  <c r="L909" i="2" s="1"/>
  <c r="K911" i="2" a="1"/>
  <c r="K911" i="2" s="1"/>
  <c r="M912" i="2" a="1"/>
  <c r="M912" i="2" s="1"/>
  <c r="L913" i="2" a="1"/>
  <c r="L913" i="2" s="1"/>
  <c r="K915" i="2" a="1"/>
  <c r="K915" i="2" s="1"/>
  <c r="M916" i="2" a="1"/>
  <c r="M916" i="2" s="1"/>
  <c r="K917" i="2" a="1"/>
  <c r="K917" i="2" s="1"/>
  <c r="M918" i="2" a="1"/>
  <c r="M918" i="2" s="1"/>
  <c r="K925" i="2" a="1"/>
  <c r="K925" i="2" s="1"/>
  <c r="L926" i="2" a="1"/>
  <c r="L926" i="2" s="1"/>
  <c r="L1460" i="2" a="1"/>
  <c r="L1460" i="2" s="1"/>
  <c r="M1458" i="2" a="1"/>
  <c r="M1458" i="2" s="1"/>
  <c r="K1458" i="2" a="1"/>
  <c r="K1458" i="2" s="1"/>
  <c r="L1456" i="2" a="1"/>
  <c r="L1456" i="2" s="1"/>
  <c r="M1460" i="2" a="1"/>
  <c r="M1460" i="2" s="1"/>
  <c r="K1460" i="2" a="1"/>
  <c r="K1460" i="2" s="1"/>
  <c r="L1458" i="2" a="1"/>
  <c r="L1458" i="2" s="1"/>
  <c r="M1456" i="2" a="1"/>
  <c r="M1456" i="2" s="1"/>
  <c r="K1456" i="2" a="1"/>
  <c r="K1456" i="2" s="1"/>
  <c r="M1459" i="2" a="1"/>
  <c r="M1459" i="2" s="1"/>
  <c r="M1457" i="2" a="1"/>
  <c r="M1457" i="2" s="1"/>
  <c r="M1455" i="2" a="1"/>
  <c r="M1455" i="2" s="1"/>
  <c r="K1455" i="2" a="1"/>
  <c r="K1455" i="2" s="1"/>
  <c r="L1453" i="2" a="1"/>
  <c r="L1453" i="2" s="1"/>
  <c r="M1451" i="2" a="1"/>
  <c r="M1451" i="2" s="1"/>
  <c r="K1451" i="2" a="1"/>
  <c r="K1451" i="2" s="1"/>
  <c r="L1449" i="2" a="1"/>
  <c r="L1449" i="2" s="1"/>
  <c r="M1447" i="2" a="1"/>
  <c r="M1447" i="2" s="1"/>
  <c r="K1447" i="2" a="1"/>
  <c r="K1447" i="2" s="1"/>
  <c r="L1445" i="2" a="1"/>
  <c r="L1445" i="2" s="1"/>
  <c r="M1443" i="2" a="1"/>
  <c r="M1443" i="2" s="1"/>
  <c r="K1443" i="2" a="1"/>
  <c r="K1443" i="2" s="1"/>
  <c r="L1441" i="2" a="1"/>
  <c r="L1441" i="2" s="1"/>
  <c r="M1439" i="2" a="1"/>
  <c r="M1439" i="2" s="1"/>
  <c r="K1439" i="2" a="1"/>
  <c r="K1439" i="2" s="1"/>
  <c r="M1438" i="2" a="1"/>
  <c r="M1438" i="2" s="1"/>
  <c r="K1438" i="2" a="1"/>
  <c r="K1438" i="2" s="1"/>
  <c r="M1437" i="2" a="1"/>
  <c r="M1437" i="2" s="1"/>
  <c r="K1437" i="2" a="1"/>
  <c r="K1437" i="2" s="1"/>
  <c r="M1436" i="2" a="1"/>
  <c r="M1436" i="2" s="1"/>
  <c r="K1436" i="2" a="1"/>
  <c r="K1436" i="2" s="1"/>
  <c r="M1435" i="2" a="1"/>
  <c r="M1435" i="2" s="1"/>
  <c r="K1435" i="2" a="1"/>
  <c r="K1435" i="2" s="1"/>
  <c r="M1434" i="2" a="1"/>
  <c r="M1434" i="2" s="1"/>
  <c r="K1434" i="2" a="1"/>
  <c r="K1434" i="2" s="1"/>
  <c r="M1433" i="2" a="1"/>
  <c r="M1433" i="2" s="1"/>
  <c r="K1433" i="2" a="1"/>
  <c r="K1433" i="2" s="1"/>
  <c r="M1432" i="2" a="1"/>
  <c r="M1432" i="2" s="1"/>
  <c r="K1432" i="2" a="1"/>
  <c r="K1432" i="2" s="1"/>
  <c r="L1459" i="2" a="1"/>
  <c r="L1459" i="2" s="1"/>
  <c r="L1457" i="2" a="1"/>
  <c r="L1457" i="2" s="1"/>
  <c r="M1454" i="2" a="1"/>
  <c r="M1454" i="2" s="1"/>
  <c r="K1454" i="2" a="1"/>
  <c r="K1454" i="2" s="1"/>
  <c r="L1452" i="2" a="1"/>
  <c r="L1452" i="2" s="1"/>
  <c r="M1450" i="2" a="1"/>
  <c r="M1450" i="2" s="1"/>
  <c r="K1450" i="2" a="1"/>
  <c r="K1450" i="2" s="1"/>
  <c r="L1448" i="2" a="1"/>
  <c r="L1448" i="2" s="1"/>
  <c r="M1446" i="2" a="1"/>
  <c r="M1446" i="2" s="1"/>
  <c r="K1446" i="2" a="1"/>
  <c r="K1446" i="2" s="1"/>
  <c r="L1444" i="2" a="1"/>
  <c r="L1444" i="2" s="1"/>
  <c r="M1442" i="2" a="1"/>
  <c r="M1442" i="2" s="1"/>
  <c r="K1442" i="2" a="1"/>
  <c r="K1442" i="2" s="1"/>
  <c r="L1440" i="2" a="1"/>
  <c r="L1440" i="2" s="1"/>
  <c r="M1429" i="2" a="1"/>
  <c r="M1429" i="2" s="1"/>
  <c r="K1429" i="2" a="1"/>
  <c r="K1429" i="2" s="1"/>
  <c r="M1428" i="2" a="1"/>
  <c r="M1428" i="2" s="1"/>
  <c r="K1428" i="2" a="1"/>
  <c r="K1428" i="2" s="1"/>
  <c r="M1427" i="2" a="1"/>
  <c r="M1427" i="2" s="1"/>
  <c r="K1427" i="2" a="1"/>
  <c r="K1427" i="2" s="1"/>
  <c r="M1426" i="2" a="1"/>
  <c r="M1426" i="2" s="1"/>
  <c r="K1426" i="2" a="1"/>
  <c r="K1426" i="2" s="1"/>
  <c r="M1425" i="2" a="1"/>
  <c r="M1425" i="2" s="1"/>
  <c r="K1425" i="2" a="1"/>
  <c r="K1425" i="2" s="1"/>
  <c r="K1459" i="2" a="1"/>
  <c r="K1459" i="2" s="1"/>
  <c r="K1457" i="2" a="1"/>
  <c r="K1457" i="2" s="1"/>
  <c r="L1455" i="2" a="1"/>
  <c r="L1455" i="2" s="1"/>
  <c r="M1453" i="2" a="1"/>
  <c r="M1453" i="2" s="1"/>
  <c r="K1453" i="2" a="1"/>
  <c r="K1453" i="2" s="1"/>
  <c r="L1451" i="2" a="1"/>
  <c r="L1451" i="2" s="1"/>
  <c r="M1449" i="2" a="1"/>
  <c r="M1449" i="2" s="1"/>
  <c r="K1449" i="2" a="1"/>
  <c r="K1449" i="2" s="1"/>
  <c r="L1447" i="2" a="1"/>
  <c r="L1447" i="2" s="1"/>
  <c r="M1445" i="2" a="1"/>
  <c r="M1445" i="2" s="1"/>
  <c r="K1445" i="2" a="1"/>
  <c r="K1445" i="2" s="1"/>
  <c r="L1443" i="2" a="1"/>
  <c r="L1443" i="2" s="1"/>
  <c r="M1441" i="2" a="1"/>
  <c r="M1441" i="2" s="1"/>
  <c r="K1441" i="2" a="1"/>
  <c r="K1441" i="2" s="1"/>
  <c r="L1439" i="2" a="1"/>
  <c r="L1439" i="2" s="1"/>
  <c r="L1438" i="2" a="1"/>
  <c r="L1438" i="2" s="1"/>
  <c r="L1437" i="2" a="1"/>
  <c r="L1437" i="2" s="1"/>
  <c r="L1436" i="2" a="1"/>
  <c r="L1436" i="2" s="1"/>
  <c r="L1435" i="2" a="1"/>
  <c r="L1435" i="2" s="1"/>
  <c r="L1434" i="2" a="1"/>
  <c r="L1434" i="2" s="1"/>
  <c r="L1454" i="2" a="1"/>
  <c r="L1454" i="2" s="1"/>
  <c r="M1452" i="2" a="1"/>
  <c r="M1452" i="2" s="1"/>
  <c r="K1452" i="2" a="1"/>
  <c r="K1452" i="2" s="1"/>
  <c r="L1450" i="2" a="1"/>
  <c r="L1450" i="2" s="1"/>
  <c r="M1448" i="2" a="1"/>
  <c r="M1448" i="2" s="1"/>
  <c r="K1448" i="2" a="1"/>
  <c r="K1448" i="2" s="1"/>
  <c r="L1446" i="2" a="1"/>
  <c r="L1446" i="2" s="1"/>
  <c r="M1444" i="2" a="1"/>
  <c r="M1444" i="2" s="1"/>
  <c r="K1444" i="2" a="1"/>
  <c r="K1444" i="2" s="1"/>
  <c r="L1442" i="2" a="1"/>
  <c r="L1442" i="2" s="1"/>
  <c r="M1440" i="2" a="1"/>
  <c r="M1440" i="2" s="1"/>
  <c r="K1440" i="2" a="1"/>
  <c r="K1440" i="2" s="1"/>
  <c r="L1429" i="2" a="1"/>
  <c r="L1429" i="2" s="1"/>
  <c r="L1428" i="2" a="1"/>
  <c r="L1428" i="2" s="1"/>
  <c r="L1427" i="2" a="1"/>
  <c r="L1427" i="2" s="1"/>
  <c r="L1426" i="2" a="1"/>
  <c r="L1426" i="2" s="1"/>
  <c r="L1425" i="2" a="1"/>
  <c r="L1425" i="2" s="1"/>
  <c r="L1432" i="2" a="1"/>
  <c r="L1432" i="2" s="1"/>
  <c r="L1431" i="2" a="1"/>
  <c r="L1431" i="2" s="1"/>
  <c r="M1430" i="2" a="1"/>
  <c r="M1430" i="2" s="1"/>
  <c r="L1424" i="2" a="1"/>
  <c r="L1424" i="2" s="1"/>
  <c r="M1423" i="2" a="1"/>
  <c r="M1423" i="2" s="1"/>
  <c r="K1421" i="2" a="1"/>
  <c r="K1421" i="2" s="1"/>
  <c r="L1420" i="2" a="1"/>
  <c r="L1420" i="2" s="1"/>
  <c r="M1419" i="2" a="1"/>
  <c r="M1419" i="2" s="1"/>
  <c r="L1418" i="2" a="1"/>
  <c r="L1418" i="2" s="1"/>
  <c r="M1417" i="2" a="1"/>
  <c r="M1417" i="2" s="1"/>
  <c r="K1417" i="2" a="1"/>
  <c r="K1417" i="2" s="1"/>
  <c r="K1431" i="2" a="1"/>
  <c r="K1431" i="2" s="1"/>
  <c r="L1430" i="2" a="1"/>
  <c r="L1430" i="2" s="1"/>
  <c r="K1424" i="2" a="1"/>
  <c r="K1424" i="2" s="1"/>
  <c r="L1423" i="2" a="1"/>
  <c r="L1423" i="2" s="1"/>
  <c r="M1422" i="2" a="1"/>
  <c r="M1422" i="2" s="1"/>
  <c r="K1420" i="2" a="1"/>
  <c r="K1420" i="2" s="1"/>
  <c r="L1419" i="2" a="1"/>
  <c r="L1419" i="2" s="1"/>
  <c r="L1433" i="2" a="1"/>
  <c r="L1433" i="2" s="1"/>
  <c r="K1430" i="2" a="1"/>
  <c r="K1430" i="2" s="1"/>
  <c r="K1423" i="2" a="1"/>
  <c r="K1423" i="2" s="1"/>
  <c r="L1422" i="2" a="1"/>
  <c r="L1422" i="2" s="1"/>
  <c r="M1421" i="2" a="1"/>
  <c r="M1421" i="2" s="1"/>
  <c r="K1419" i="2" a="1"/>
  <c r="K1419" i="2" s="1"/>
  <c r="K1418" i="2" a="1"/>
  <c r="K1418" i="2" s="1"/>
  <c r="M1431" i="2" a="1"/>
  <c r="M1431" i="2" s="1"/>
  <c r="M1424" i="2" a="1"/>
  <c r="M1424" i="2" s="1"/>
  <c r="K1422" i="2" a="1"/>
  <c r="K1422" i="2" s="1"/>
  <c r="L1421" i="2" a="1"/>
  <c r="L1421" i="2" s="1"/>
  <c r="M1420" i="2" a="1"/>
  <c r="M1420" i="2" s="1"/>
  <c r="M1418" i="2" a="1"/>
  <c r="M1418" i="2" s="1"/>
  <c r="M1416" i="2" a="1"/>
  <c r="M1416" i="2" s="1"/>
  <c r="K1414" i="2" a="1"/>
  <c r="K1414" i="2" s="1"/>
  <c r="L1413" i="2" a="1"/>
  <c r="L1413" i="2" s="1"/>
  <c r="M1412" i="2" a="1"/>
  <c r="M1412" i="2" s="1"/>
  <c r="M1410" i="2" a="1"/>
  <c r="M1410" i="2" s="1"/>
  <c r="K1409" i="2" a="1"/>
  <c r="K1409" i="2" s="1"/>
  <c r="L1407" i="2" a="1"/>
  <c r="L1407" i="2" s="1"/>
  <c r="M1406" i="2" a="1"/>
  <c r="M1406" i="2" s="1"/>
  <c r="K1405" i="2" a="1"/>
  <c r="K1405" i="2" s="1"/>
  <c r="L1403" i="2" a="1"/>
  <c r="L1403" i="2" s="1"/>
  <c r="M1402" i="2" a="1"/>
  <c r="M1402" i="2" s="1"/>
  <c r="K1401" i="2" a="1"/>
  <c r="K1401" i="2" s="1"/>
  <c r="L1399" i="2" a="1"/>
  <c r="L1399" i="2" s="1"/>
  <c r="M1398" i="2" a="1"/>
  <c r="M1398" i="2" s="1"/>
  <c r="K1397" i="2" a="1"/>
  <c r="K1397" i="2" s="1"/>
  <c r="L1395" i="2" a="1"/>
  <c r="L1395" i="2" s="1"/>
  <c r="M1394" i="2" a="1"/>
  <c r="M1394" i="2" s="1"/>
  <c r="K1393" i="2" a="1"/>
  <c r="K1393" i="2" s="1"/>
  <c r="L1391" i="2" a="1"/>
  <c r="L1391" i="2" s="1"/>
  <c r="M1390" i="2" a="1"/>
  <c r="M1390" i="2" s="1"/>
  <c r="K1389" i="2" a="1"/>
  <c r="K1389" i="2" s="1"/>
  <c r="L1387" i="2" a="1"/>
  <c r="L1387" i="2" s="1"/>
  <c r="M1386" i="2" a="1"/>
  <c r="M1386" i="2" s="1"/>
  <c r="K1385" i="2" a="1"/>
  <c r="K1385" i="2" s="1"/>
  <c r="L1383" i="2" a="1"/>
  <c r="L1383" i="2" s="1"/>
  <c r="M1382" i="2" a="1"/>
  <c r="M1382" i="2" s="1"/>
  <c r="K1381" i="2" a="1"/>
  <c r="K1381" i="2" s="1"/>
  <c r="L1379" i="2" a="1"/>
  <c r="L1379" i="2" s="1"/>
  <c r="M1378" i="2" a="1"/>
  <c r="M1378" i="2" s="1"/>
  <c r="K1377" i="2" a="1"/>
  <c r="K1377" i="2" s="1"/>
  <c r="L1375" i="2" a="1"/>
  <c r="L1375" i="2" s="1"/>
  <c r="M1374" i="2" a="1"/>
  <c r="M1374" i="2" s="1"/>
  <c r="K1373" i="2" a="1"/>
  <c r="K1373" i="2" s="1"/>
  <c r="L1371" i="2" a="1"/>
  <c r="L1371" i="2" s="1"/>
  <c r="M1370" i="2" a="1"/>
  <c r="M1370" i="2" s="1"/>
  <c r="M1363" i="2" a="1"/>
  <c r="M1363" i="2" s="1"/>
  <c r="K1363" i="2" a="1"/>
  <c r="K1363" i="2" s="1"/>
  <c r="M1362" i="2" a="1"/>
  <c r="M1362" i="2" s="1"/>
  <c r="K1362" i="2" a="1"/>
  <c r="K1362" i="2" s="1"/>
  <c r="M1361" i="2" a="1"/>
  <c r="M1361" i="2" s="1"/>
  <c r="K1361" i="2" a="1"/>
  <c r="K1361" i="2" s="1"/>
  <c r="M1360" i="2" a="1"/>
  <c r="M1360" i="2" s="1"/>
  <c r="K1360" i="2" a="1"/>
  <c r="K1360" i="2" s="1"/>
  <c r="M1359" i="2" a="1"/>
  <c r="M1359" i="2" s="1"/>
  <c r="K1359" i="2" a="1"/>
  <c r="K1359" i="2" s="1"/>
  <c r="M1358" i="2" a="1"/>
  <c r="M1358" i="2" s="1"/>
  <c r="K1358" i="2" a="1"/>
  <c r="K1358" i="2" s="1"/>
  <c r="M1357" i="2" a="1"/>
  <c r="M1357" i="2" s="1"/>
  <c r="K1357" i="2" a="1"/>
  <c r="K1357" i="2" s="1"/>
  <c r="M1356" i="2" a="1"/>
  <c r="M1356" i="2" s="1"/>
  <c r="K1356" i="2" a="1"/>
  <c r="K1356" i="2" s="1"/>
  <c r="M1355" i="2" a="1"/>
  <c r="M1355" i="2" s="1"/>
  <c r="K1355" i="2" a="1"/>
  <c r="K1355" i="2" s="1"/>
  <c r="L1416" i="2" a="1"/>
  <c r="L1416" i="2" s="1"/>
  <c r="M1415" i="2" a="1"/>
  <c r="M1415" i="2" s="1"/>
  <c r="K1413" i="2" a="1"/>
  <c r="K1413" i="2" s="1"/>
  <c r="L1412" i="2" a="1"/>
  <c r="L1412" i="2" s="1"/>
  <c r="M1411" i="2" a="1"/>
  <c r="M1411" i="2" s="1"/>
  <c r="L1410" i="2" a="1"/>
  <c r="L1410" i="2" s="1"/>
  <c r="M1409" i="2" a="1"/>
  <c r="M1409" i="2" s="1"/>
  <c r="K1408" i="2" a="1"/>
  <c r="K1408" i="2" s="1"/>
  <c r="L1406" i="2" a="1"/>
  <c r="L1406" i="2" s="1"/>
  <c r="M1405" i="2" a="1"/>
  <c r="M1405" i="2" s="1"/>
  <c r="K1404" i="2" a="1"/>
  <c r="K1404" i="2" s="1"/>
  <c r="L1402" i="2" a="1"/>
  <c r="L1402" i="2" s="1"/>
  <c r="M1401" i="2" a="1"/>
  <c r="M1401" i="2" s="1"/>
  <c r="K1400" i="2" a="1"/>
  <c r="K1400" i="2" s="1"/>
  <c r="L1398" i="2" a="1"/>
  <c r="L1398" i="2" s="1"/>
  <c r="M1397" i="2" a="1"/>
  <c r="M1397" i="2" s="1"/>
  <c r="K1396" i="2" a="1"/>
  <c r="K1396" i="2" s="1"/>
  <c r="L1394" i="2" a="1"/>
  <c r="L1394" i="2" s="1"/>
  <c r="M1393" i="2" a="1"/>
  <c r="M1393" i="2" s="1"/>
  <c r="K1392" i="2" a="1"/>
  <c r="K1392" i="2" s="1"/>
  <c r="L1390" i="2" a="1"/>
  <c r="L1390" i="2" s="1"/>
  <c r="M1389" i="2" a="1"/>
  <c r="M1389" i="2" s="1"/>
  <c r="K1388" i="2" a="1"/>
  <c r="K1388" i="2" s="1"/>
  <c r="L1386" i="2" a="1"/>
  <c r="L1386" i="2" s="1"/>
  <c r="M1385" i="2" a="1"/>
  <c r="M1385" i="2" s="1"/>
  <c r="K1384" i="2" a="1"/>
  <c r="K1384" i="2" s="1"/>
  <c r="L1382" i="2" a="1"/>
  <c r="L1382" i="2" s="1"/>
  <c r="M1381" i="2" a="1"/>
  <c r="M1381" i="2" s="1"/>
  <c r="K1380" i="2" a="1"/>
  <c r="K1380" i="2" s="1"/>
  <c r="L1378" i="2" a="1"/>
  <c r="L1378" i="2" s="1"/>
  <c r="M1377" i="2" a="1"/>
  <c r="M1377" i="2" s="1"/>
  <c r="K1376" i="2" a="1"/>
  <c r="K1376" i="2" s="1"/>
  <c r="L1374" i="2" a="1"/>
  <c r="L1374" i="2" s="1"/>
  <c r="M1373" i="2" a="1"/>
  <c r="M1373" i="2" s="1"/>
  <c r="K1372" i="2" a="1"/>
  <c r="K1372" i="2" s="1"/>
  <c r="L1370" i="2" a="1"/>
  <c r="L1370" i="2" s="1"/>
  <c r="L1369" i="2" a="1"/>
  <c r="L1369" i="2" s="1"/>
  <c r="L1368" i="2" a="1"/>
  <c r="L1368" i="2" s="1"/>
  <c r="L1367" i="2" a="1"/>
  <c r="L1367" i="2" s="1"/>
  <c r="L1366" i="2" a="1"/>
  <c r="L1366" i="2" s="1"/>
  <c r="L1417" i="2" a="1"/>
  <c r="L1417" i="2" s="1"/>
  <c r="K1416" i="2" a="1"/>
  <c r="K1416" i="2" s="1"/>
  <c r="L1415" i="2" a="1"/>
  <c r="L1415" i="2" s="1"/>
  <c r="M1414" i="2" a="1"/>
  <c r="M1414" i="2" s="1"/>
  <c r="K1412" i="2" a="1"/>
  <c r="K1412" i="2" s="1"/>
  <c r="L1411" i="2" a="1"/>
  <c r="L1411" i="2" s="1"/>
  <c r="L1409" i="2" a="1"/>
  <c r="L1409" i="2" s="1"/>
  <c r="M1408" i="2" a="1"/>
  <c r="M1408" i="2" s="1"/>
  <c r="K1407" i="2" a="1"/>
  <c r="K1407" i="2" s="1"/>
  <c r="L1405" i="2" a="1"/>
  <c r="L1405" i="2" s="1"/>
  <c r="M1404" i="2" a="1"/>
  <c r="M1404" i="2" s="1"/>
  <c r="K1403" i="2" a="1"/>
  <c r="K1403" i="2" s="1"/>
  <c r="L1401" i="2" a="1"/>
  <c r="L1401" i="2" s="1"/>
  <c r="M1400" i="2" a="1"/>
  <c r="M1400" i="2" s="1"/>
  <c r="K1399" i="2" a="1"/>
  <c r="K1399" i="2" s="1"/>
  <c r="L1397" i="2" a="1"/>
  <c r="L1397" i="2" s="1"/>
  <c r="M1396" i="2" a="1"/>
  <c r="M1396" i="2" s="1"/>
  <c r="K1395" i="2" a="1"/>
  <c r="K1395" i="2" s="1"/>
  <c r="L1393" i="2" a="1"/>
  <c r="L1393" i="2" s="1"/>
  <c r="M1392" i="2" a="1"/>
  <c r="M1392" i="2" s="1"/>
  <c r="K1391" i="2" a="1"/>
  <c r="K1391" i="2" s="1"/>
  <c r="L1389" i="2" a="1"/>
  <c r="L1389" i="2" s="1"/>
  <c r="M1388" i="2" a="1"/>
  <c r="M1388" i="2" s="1"/>
  <c r="K1387" i="2" a="1"/>
  <c r="K1387" i="2" s="1"/>
  <c r="L1385" i="2" a="1"/>
  <c r="L1385" i="2" s="1"/>
  <c r="M1384" i="2" a="1"/>
  <c r="M1384" i="2" s="1"/>
  <c r="K1383" i="2" a="1"/>
  <c r="K1383" i="2" s="1"/>
  <c r="L1381" i="2" a="1"/>
  <c r="L1381" i="2" s="1"/>
  <c r="M1380" i="2" a="1"/>
  <c r="M1380" i="2" s="1"/>
  <c r="K1379" i="2" a="1"/>
  <c r="K1379" i="2" s="1"/>
  <c r="L1377" i="2" a="1"/>
  <c r="L1377" i="2" s="1"/>
  <c r="M1376" i="2" a="1"/>
  <c r="M1376" i="2" s="1"/>
  <c r="K1375" i="2" a="1"/>
  <c r="K1375" i="2" s="1"/>
  <c r="L1373" i="2" a="1"/>
  <c r="L1373" i="2" s="1"/>
  <c r="M1372" i="2" a="1"/>
  <c r="M1372" i="2" s="1"/>
  <c r="K1371" i="2" a="1"/>
  <c r="K1371" i="2" s="1"/>
  <c r="K1415" i="2" a="1"/>
  <c r="K1415" i="2" s="1"/>
  <c r="L1414" i="2" a="1"/>
  <c r="L1414" i="2" s="1"/>
  <c r="M1413" i="2" a="1"/>
  <c r="M1413" i="2" s="1"/>
  <c r="K1411" i="2" a="1"/>
  <c r="K1411" i="2" s="1"/>
  <c r="K1410" i="2" a="1"/>
  <c r="K1410" i="2" s="1"/>
  <c r="L1408" i="2" a="1"/>
  <c r="L1408" i="2" s="1"/>
  <c r="M1407" i="2" a="1"/>
  <c r="M1407" i="2" s="1"/>
  <c r="K1406" i="2" a="1"/>
  <c r="K1406" i="2" s="1"/>
  <c r="L1404" i="2" a="1"/>
  <c r="L1404" i="2" s="1"/>
  <c r="M1403" i="2" a="1"/>
  <c r="M1403" i="2" s="1"/>
  <c r="K1402" i="2" a="1"/>
  <c r="K1402" i="2" s="1"/>
  <c r="L1400" i="2" a="1"/>
  <c r="L1400" i="2" s="1"/>
  <c r="M1399" i="2" a="1"/>
  <c r="M1399" i="2" s="1"/>
  <c r="K1398" i="2" a="1"/>
  <c r="K1398" i="2" s="1"/>
  <c r="L1396" i="2" a="1"/>
  <c r="L1396" i="2" s="1"/>
  <c r="M1395" i="2" a="1"/>
  <c r="M1395" i="2" s="1"/>
  <c r="K1394" i="2" a="1"/>
  <c r="K1394" i="2" s="1"/>
  <c r="L1392" i="2" a="1"/>
  <c r="L1392" i="2" s="1"/>
  <c r="M1391" i="2" a="1"/>
  <c r="M1391" i="2" s="1"/>
  <c r="K1390" i="2" a="1"/>
  <c r="K1390" i="2" s="1"/>
  <c r="L1388" i="2" a="1"/>
  <c r="L1388" i="2" s="1"/>
  <c r="M1387" i="2" a="1"/>
  <c r="M1387" i="2" s="1"/>
  <c r="K1386" i="2" a="1"/>
  <c r="K1386" i="2" s="1"/>
  <c r="L1384" i="2" a="1"/>
  <c r="L1384" i="2" s="1"/>
  <c r="M1383" i="2" a="1"/>
  <c r="M1383" i="2" s="1"/>
  <c r="K1382" i="2" a="1"/>
  <c r="K1382" i="2" s="1"/>
  <c r="L1380" i="2" a="1"/>
  <c r="L1380" i="2" s="1"/>
  <c r="M1379" i="2" a="1"/>
  <c r="M1379" i="2" s="1"/>
  <c r="K1378" i="2" a="1"/>
  <c r="K1378" i="2" s="1"/>
  <c r="L1376" i="2" a="1"/>
  <c r="L1376" i="2" s="1"/>
  <c r="M1375" i="2" a="1"/>
  <c r="M1375" i="2" s="1"/>
  <c r="K1374" i="2" a="1"/>
  <c r="K1374" i="2" s="1"/>
  <c r="L1372" i="2" a="1"/>
  <c r="L1372" i="2" s="1"/>
  <c r="M1371" i="2" a="1"/>
  <c r="M1371" i="2" s="1"/>
  <c r="K1370" i="2" a="1"/>
  <c r="K1370" i="2" s="1"/>
  <c r="M1369" i="2" a="1"/>
  <c r="M1369" i="2" s="1"/>
  <c r="K1369" i="2" a="1"/>
  <c r="K1369" i="2" s="1"/>
  <c r="M1368" i="2" a="1"/>
  <c r="M1368" i="2" s="1"/>
  <c r="K1368" i="2" a="1"/>
  <c r="K1368" i="2" s="1"/>
  <c r="M1367" i="2" a="1"/>
  <c r="M1367" i="2" s="1"/>
  <c r="K1367" i="2" a="1"/>
  <c r="K1367" i="2" s="1"/>
  <c r="M1366" i="2" a="1"/>
  <c r="M1366" i="2" s="1"/>
  <c r="K1366" i="2" a="1"/>
  <c r="K1366" i="2" s="1"/>
  <c r="M1365" i="2" a="1"/>
  <c r="M1365" i="2" s="1"/>
  <c r="K1365" i="2" a="1"/>
  <c r="K1365" i="2" s="1"/>
  <c r="M1364" i="2" a="1"/>
  <c r="M1364" i="2" s="1"/>
  <c r="K1364" i="2" a="1"/>
  <c r="K1364" i="2" s="1"/>
  <c r="L1362" i="2" a="1"/>
  <c r="L1362" i="2" s="1"/>
  <c r="L1358" i="2" a="1"/>
  <c r="L1358" i="2" s="1"/>
  <c r="M1346" i="2" a="1"/>
  <c r="M1346" i="2" s="1"/>
  <c r="K1346" i="2" a="1"/>
  <c r="K1346" i="2" s="1"/>
  <c r="M1345" i="2" a="1"/>
  <c r="M1345" i="2" s="1"/>
  <c r="K1345" i="2" a="1"/>
  <c r="K1345" i="2" s="1"/>
  <c r="M1344" i="2" a="1"/>
  <c r="M1344" i="2" s="1"/>
  <c r="K1344" i="2" a="1"/>
  <c r="K1344" i="2" s="1"/>
  <c r="M1343" i="2" a="1"/>
  <c r="M1343" i="2" s="1"/>
  <c r="K1343" i="2" a="1"/>
  <c r="K1343" i="2" s="1"/>
  <c r="M1342" i="2" a="1"/>
  <c r="M1342" i="2" s="1"/>
  <c r="K1342" i="2" a="1"/>
  <c r="K1342" i="2" s="1"/>
  <c r="M1341" i="2" a="1"/>
  <c r="M1341" i="2" s="1"/>
  <c r="K1341" i="2" a="1"/>
  <c r="K1341" i="2" s="1"/>
  <c r="M1340" i="2" a="1"/>
  <c r="M1340" i="2" s="1"/>
  <c r="K1340" i="2" a="1"/>
  <c r="K1340" i="2" s="1"/>
  <c r="M1339" i="2" a="1"/>
  <c r="M1339" i="2" s="1"/>
  <c r="K1339" i="2" a="1"/>
  <c r="K1339" i="2" s="1"/>
  <c r="M1338" i="2" a="1"/>
  <c r="M1338" i="2" s="1"/>
  <c r="K1338" i="2" a="1"/>
  <c r="K1338" i="2" s="1"/>
  <c r="M1337" i="2" a="1"/>
  <c r="M1337" i="2" s="1"/>
  <c r="K1337" i="2" a="1"/>
  <c r="K1337" i="2" s="1"/>
  <c r="M1336" i="2" a="1"/>
  <c r="M1336" i="2" s="1"/>
  <c r="K1336" i="2" a="1"/>
  <c r="K1336" i="2" s="1"/>
  <c r="M1335" i="2" a="1"/>
  <c r="M1335" i="2" s="1"/>
  <c r="K1335" i="2" a="1"/>
  <c r="K1335" i="2" s="1"/>
  <c r="M1334" i="2" a="1"/>
  <c r="M1334" i="2" s="1"/>
  <c r="K1334" i="2" a="1"/>
  <c r="K1334" i="2" s="1"/>
  <c r="M1333" i="2" a="1"/>
  <c r="M1333" i="2" s="1"/>
  <c r="K1333" i="2" a="1"/>
  <c r="K1333" i="2" s="1"/>
  <c r="M1332" i="2" a="1"/>
  <c r="M1332" i="2" s="1"/>
  <c r="K1332" i="2" a="1"/>
  <c r="K1332" i="2" s="1"/>
  <c r="M1331" i="2" a="1"/>
  <c r="M1331" i="2" s="1"/>
  <c r="K1331" i="2" a="1"/>
  <c r="K1331" i="2" s="1"/>
  <c r="M1330" i="2" a="1"/>
  <c r="M1330" i="2" s="1"/>
  <c r="K1330" i="2" a="1"/>
  <c r="K1330" i="2" s="1"/>
  <c r="M1329" i="2" a="1"/>
  <c r="M1329" i="2" s="1"/>
  <c r="K1329" i="2" a="1"/>
  <c r="K1329" i="2" s="1"/>
  <c r="M1328" i="2" a="1"/>
  <c r="M1328" i="2" s="1"/>
  <c r="K1328" i="2" a="1"/>
  <c r="K1328" i="2" s="1"/>
  <c r="M1327" i="2" a="1"/>
  <c r="M1327" i="2" s="1"/>
  <c r="K1327" i="2" a="1"/>
  <c r="K1327" i="2" s="1"/>
  <c r="M1326" i="2" a="1"/>
  <c r="M1326" i="2" s="1"/>
  <c r="K1326" i="2" a="1"/>
  <c r="K1326" i="2" s="1"/>
  <c r="M1325" i="2" a="1"/>
  <c r="M1325" i="2" s="1"/>
  <c r="K1325" i="2" a="1"/>
  <c r="K1325" i="2" s="1"/>
  <c r="M1324" i="2" a="1"/>
  <c r="M1324" i="2" s="1"/>
  <c r="K1324" i="2" a="1"/>
  <c r="K1324" i="2" s="1"/>
  <c r="M1323" i="2" a="1"/>
  <c r="M1323" i="2" s="1"/>
  <c r="K1323" i="2" a="1"/>
  <c r="K1323" i="2" s="1"/>
  <c r="M1322" i="2" a="1"/>
  <c r="M1322" i="2" s="1"/>
  <c r="K1322" i="2" a="1"/>
  <c r="K1322" i="2" s="1"/>
  <c r="M1321" i="2" a="1"/>
  <c r="M1321" i="2" s="1"/>
  <c r="K1321" i="2" a="1"/>
  <c r="K1321" i="2" s="1"/>
  <c r="M1320" i="2" a="1"/>
  <c r="M1320" i="2" s="1"/>
  <c r="K1320" i="2" a="1"/>
  <c r="K1320" i="2" s="1"/>
  <c r="M1319" i="2" a="1"/>
  <c r="M1319" i="2" s="1"/>
  <c r="K1319" i="2" a="1"/>
  <c r="K1319" i="2" s="1"/>
  <c r="M1318" i="2" a="1"/>
  <c r="M1318" i="2" s="1"/>
  <c r="K1318" i="2" a="1"/>
  <c r="K1318" i="2" s="1"/>
  <c r="M1317" i="2" a="1"/>
  <c r="M1317" i="2" s="1"/>
  <c r="K1317" i="2" a="1"/>
  <c r="K1317" i="2" s="1"/>
  <c r="M1316" i="2" a="1"/>
  <c r="M1316" i="2" s="1"/>
  <c r="K1316" i="2" a="1"/>
  <c r="K1316" i="2" s="1"/>
  <c r="M1315" i="2" a="1"/>
  <c r="M1315" i="2" s="1"/>
  <c r="K1315" i="2" a="1"/>
  <c r="K1315" i="2" s="1"/>
  <c r="M1314" i="2" a="1"/>
  <c r="M1314" i="2" s="1"/>
  <c r="K1314" i="2" a="1"/>
  <c r="K1314" i="2" s="1"/>
  <c r="M1313" i="2" a="1"/>
  <c r="M1313" i="2" s="1"/>
  <c r="K1313" i="2" a="1"/>
  <c r="K1313" i="2" s="1"/>
  <c r="M1312" i="2" a="1"/>
  <c r="M1312" i="2" s="1"/>
  <c r="K1312" i="2" a="1"/>
  <c r="K1312" i="2" s="1"/>
  <c r="M1311" i="2" a="1"/>
  <c r="M1311" i="2" s="1"/>
  <c r="K1311" i="2" a="1"/>
  <c r="K1311" i="2" s="1"/>
  <c r="M1310" i="2" a="1"/>
  <c r="M1310" i="2" s="1"/>
  <c r="K1310" i="2" a="1"/>
  <c r="K1310" i="2" s="1"/>
  <c r="L1365" i="2" a="1"/>
  <c r="L1365" i="2" s="1"/>
  <c r="L1361" i="2" a="1"/>
  <c r="L1361" i="2" s="1"/>
  <c r="L1357" i="2" a="1"/>
  <c r="L1357" i="2" s="1"/>
  <c r="L1354" i="2" a="1"/>
  <c r="L1354" i="2" s="1"/>
  <c r="L1353" i="2" a="1"/>
  <c r="L1353" i="2" s="1"/>
  <c r="L1352" i="2" a="1"/>
  <c r="L1352" i="2" s="1"/>
  <c r="L1351" i="2" a="1"/>
  <c r="L1351" i="2" s="1"/>
  <c r="L1350" i="2" a="1"/>
  <c r="L1350" i="2" s="1"/>
  <c r="L1349" i="2" a="1"/>
  <c r="L1349" i="2" s="1"/>
  <c r="L1348" i="2" a="1"/>
  <c r="L1348" i="2" s="1"/>
  <c r="L1347" i="2" a="1"/>
  <c r="L1347" i="2" s="1"/>
  <c r="L1287" i="2" a="1"/>
  <c r="L1287" i="2" s="1"/>
  <c r="L1286" i="2" a="1"/>
  <c r="L1286" i="2" s="1"/>
  <c r="L1285" i="2" a="1"/>
  <c r="L1285" i="2" s="1"/>
  <c r="L1284" i="2" a="1"/>
  <c r="L1284" i="2" s="1"/>
  <c r="L1283" i="2" a="1"/>
  <c r="L1283" i="2" s="1"/>
  <c r="L1282" i="2" a="1"/>
  <c r="L1282" i="2" s="1"/>
  <c r="L1281" i="2" a="1"/>
  <c r="L1281" i="2" s="1"/>
  <c r="L1280" i="2" a="1"/>
  <c r="L1280" i="2" s="1"/>
  <c r="L1279" i="2" a="1"/>
  <c r="L1279" i="2" s="1"/>
  <c r="L1278" i="2" a="1"/>
  <c r="L1278" i="2" s="1"/>
  <c r="L1277" i="2" a="1"/>
  <c r="L1277" i="2" s="1"/>
  <c r="L1276" i="2" a="1"/>
  <c r="L1276" i="2" s="1"/>
  <c r="L1275" i="2" a="1"/>
  <c r="L1275" i="2" s="1"/>
  <c r="L1274" i="2" a="1"/>
  <c r="L1274" i="2" s="1"/>
  <c r="L1273" i="2" a="1"/>
  <c r="L1273" i="2" s="1"/>
  <c r="L1272" i="2" a="1"/>
  <c r="L1272" i="2" s="1"/>
  <c r="L1271" i="2" a="1"/>
  <c r="L1271" i="2" s="1"/>
  <c r="L1270" i="2" a="1"/>
  <c r="L1270" i="2" s="1"/>
  <c r="L1360" i="2" a="1"/>
  <c r="L1360" i="2" s="1"/>
  <c r="L1356" i="2" a="1"/>
  <c r="L1356" i="2" s="1"/>
  <c r="L1346" i="2" a="1"/>
  <c r="L1346" i="2" s="1"/>
  <c r="L1345" i="2" a="1"/>
  <c r="L1345" i="2" s="1"/>
  <c r="L1344" i="2" a="1"/>
  <c r="L1344" i="2" s="1"/>
  <c r="L1343" i="2" a="1"/>
  <c r="L1343" i="2" s="1"/>
  <c r="L1342" i="2" a="1"/>
  <c r="L1342" i="2" s="1"/>
  <c r="L1341" i="2" a="1"/>
  <c r="L1341" i="2" s="1"/>
  <c r="L1340" i="2" a="1"/>
  <c r="L1340" i="2" s="1"/>
  <c r="L1339" i="2" a="1"/>
  <c r="L1339" i="2" s="1"/>
  <c r="L1338" i="2" a="1"/>
  <c r="L1338" i="2" s="1"/>
  <c r="L1337" i="2" a="1"/>
  <c r="L1337" i="2" s="1"/>
  <c r="L1336" i="2" a="1"/>
  <c r="L1336" i="2" s="1"/>
  <c r="L1335" i="2" a="1"/>
  <c r="L1335" i="2" s="1"/>
  <c r="L1334" i="2" a="1"/>
  <c r="L1334" i="2" s="1"/>
  <c r="L1333" i="2" a="1"/>
  <c r="L1333" i="2" s="1"/>
  <c r="L1332" i="2" a="1"/>
  <c r="L1332" i="2" s="1"/>
  <c r="L1331" i="2" a="1"/>
  <c r="L1331" i="2" s="1"/>
  <c r="L1330" i="2" a="1"/>
  <c r="L1330" i="2" s="1"/>
  <c r="L1329" i="2" a="1"/>
  <c r="L1329" i="2" s="1"/>
  <c r="L1328" i="2" a="1"/>
  <c r="L1328" i="2" s="1"/>
  <c r="L1327" i="2" a="1"/>
  <c r="L1327" i="2" s="1"/>
  <c r="L1326" i="2" a="1"/>
  <c r="L1326" i="2" s="1"/>
  <c r="L1325" i="2" a="1"/>
  <c r="L1325" i="2" s="1"/>
  <c r="L1324" i="2" a="1"/>
  <c r="L1324" i="2" s="1"/>
  <c r="L1323" i="2" a="1"/>
  <c r="L1323" i="2" s="1"/>
  <c r="L1322" i="2" a="1"/>
  <c r="L1322" i="2" s="1"/>
  <c r="L1321" i="2" a="1"/>
  <c r="L1321" i="2" s="1"/>
  <c r="L1364" i="2" a="1"/>
  <c r="L1364" i="2" s="1"/>
  <c r="L1363" i="2" a="1"/>
  <c r="L1363" i="2" s="1"/>
  <c r="L1359" i="2" a="1"/>
  <c r="L1359" i="2" s="1"/>
  <c r="L1355" i="2" a="1"/>
  <c r="L1355" i="2" s="1"/>
  <c r="M1354" i="2" a="1"/>
  <c r="M1354" i="2" s="1"/>
  <c r="K1354" i="2" a="1"/>
  <c r="K1354" i="2" s="1"/>
  <c r="M1353" i="2" a="1"/>
  <c r="M1353" i="2" s="1"/>
  <c r="K1353" i="2" a="1"/>
  <c r="K1353" i="2" s="1"/>
  <c r="M1352" i="2" a="1"/>
  <c r="M1352" i="2" s="1"/>
  <c r="K1352" i="2" a="1"/>
  <c r="K1352" i="2" s="1"/>
  <c r="M1351" i="2" a="1"/>
  <c r="M1351" i="2" s="1"/>
  <c r="K1351" i="2" a="1"/>
  <c r="K1351" i="2" s="1"/>
  <c r="M1350" i="2" a="1"/>
  <c r="M1350" i="2" s="1"/>
  <c r="K1350" i="2" a="1"/>
  <c r="K1350" i="2" s="1"/>
  <c r="M1349" i="2" a="1"/>
  <c r="M1349" i="2" s="1"/>
  <c r="K1349" i="2" a="1"/>
  <c r="K1349" i="2" s="1"/>
  <c r="M1348" i="2" a="1"/>
  <c r="M1348" i="2" s="1"/>
  <c r="K1348" i="2" a="1"/>
  <c r="K1348" i="2" s="1"/>
  <c r="M1347" i="2" a="1"/>
  <c r="M1347" i="2" s="1"/>
  <c r="K1347" i="2" a="1"/>
  <c r="K1347" i="2" s="1"/>
  <c r="M1287" i="2" a="1"/>
  <c r="M1287" i="2" s="1"/>
  <c r="K1287" i="2" a="1"/>
  <c r="K1287" i="2" s="1"/>
  <c r="M1286" i="2" a="1"/>
  <c r="M1286" i="2" s="1"/>
  <c r="K1286" i="2" a="1"/>
  <c r="K1286" i="2" s="1"/>
  <c r="M1285" i="2" a="1"/>
  <c r="M1285" i="2" s="1"/>
  <c r="K1285" i="2" a="1"/>
  <c r="K1285" i="2" s="1"/>
  <c r="M1284" i="2" a="1"/>
  <c r="M1284" i="2" s="1"/>
  <c r="K1284" i="2" a="1"/>
  <c r="K1284" i="2" s="1"/>
  <c r="M1283" i="2" a="1"/>
  <c r="M1283" i="2" s="1"/>
  <c r="K1283" i="2" a="1"/>
  <c r="K1283" i="2" s="1"/>
  <c r="M1282" i="2" a="1"/>
  <c r="M1282" i="2" s="1"/>
  <c r="K1282" i="2" a="1"/>
  <c r="K1282" i="2" s="1"/>
  <c r="M1281" i="2" a="1"/>
  <c r="M1281" i="2" s="1"/>
  <c r="K1281" i="2" a="1"/>
  <c r="K1281" i="2" s="1"/>
  <c r="M1280" i="2" a="1"/>
  <c r="M1280" i="2" s="1"/>
  <c r="K1280" i="2" a="1"/>
  <c r="K1280" i="2" s="1"/>
  <c r="M1279" i="2" a="1"/>
  <c r="M1279" i="2" s="1"/>
  <c r="K1279" i="2" a="1"/>
  <c r="K1279" i="2" s="1"/>
  <c r="M1278" i="2" a="1"/>
  <c r="M1278" i="2" s="1"/>
  <c r="K1278" i="2" a="1"/>
  <c r="K1278" i="2" s="1"/>
  <c r="M1277" i="2" a="1"/>
  <c r="M1277" i="2" s="1"/>
  <c r="K1277" i="2" a="1"/>
  <c r="K1277" i="2" s="1"/>
  <c r="M1276" i="2" a="1"/>
  <c r="M1276" i="2" s="1"/>
  <c r="K1276" i="2" a="1"/>
  <c r="K1276" i="2" s="1"/>
  <c r="M1275" i="2" a="1"/>
  <c r="M1275" i="2" s="1"/>
  <c r="L1309" i="2" a="1"/>
  <c r="L1309" i="2" s="1"/>
  <c r="M1308" i="2" a="1"/>
  <c r="M1308" i="2" s="1"/>
  <c r="K1306" i="2" a="1"/>
  <c r="K1306" i="2" s="1"/>
  <c r="L1305" i="2" a="1"/>
  <c r="L1305" i="2" s="1"/>
  <c r="M1304" i="2" a="1"/>
  <c r="M1304" i="2" s="1"/>
  <c r="K1302" i="2" a="1"/>
  <c r="K1302" i="2" s="1"/>
  <c r="L1301" i="2" a="1"/>
  <c r="L1301" i="2" s="1"/>
  <c r="M1300" i="2" a="1"/>
  <c r="M1300" i="2" s="1"/>
  <c r="K1298" i="2" a="1"/>
  <c r="K1298" i="2" s="1"/>
  <c r="L1297" i="2" a="1"/>
  <c r="L1297" i="2" s="1"/>
  <c r="M1296" i="2" a="1"/>
  <c r="M1296" i="2" s="1"/>
  <c r="K1294" i="2" a="1"/>
  <c r="K1294" i="2" s="1"/>
  <c r="L1293" i="2" a="1"/>
  <c r="L1293" i="2" s="1"/>
  <c r="M1292" i="2" a="1"/>
  <c r="M1292" i="2" s="1"/>
  <c r="K1290" i="2" a="1"/>
  <c r="K1290" i="2" s="1"/>
  <c r="L1289" i="2" a="1"/>
  <c r="L1289" i="2" s="1"/>
  <c r="M1218" i="2" a="1"/>
  <c r="M1218" i="2" s="1"/>
  <c r="K1218" i="2" a="1"/>
  <c r="K1218" i="2" s="1"/>
  <c r="M1217" i="2" a="1"/>
  <c r="M1217" i="2" s="1"/>
  <c r="K1217" i="2" a="1"/>
  <c r="K1217" i="2" s="1"/>
  <c r="M1216" i="2" a="1"/>
  <c r="M1216" i="2" s="1"/>
  <c r="K1216" i="2" a="1"/>
  <c r="K1216" i="2" s="1"/>
  <c r="M1215" i="2" a="1"/>
  <c r="M1215" i="2" s="1"/>
  <c r="K1215" i="2" a="1"/>
  <c r="K1215" i="2" s="1"/>
  <c r="M1214" i="2" a="1"/>
  <c r="M1214" i="2" s="1"/>
  <c r="K1214" i="2" a="1"/>
  <c r="K1214" i="2" s="1"/>
  <c r="L1212" i="2" a="1"/>
  <c r="L1212" i="2" s="1"/>
  <c r="L1211" i="2" a="1"/>
  <c r="L1211" i="2" s="1"/>
  <c r="L1210" i="2" a="1"/>
  <c r="L1210" i="2" s="1"/>
  <c r="L1209" i="2" a="1"/>
  <c r="L1209" i="2" s="1"/>
  <c r="L1208" i="2" a="1"/>
  <c r="L1208" i="2" s="1"/>
  <c r="L1207" i="2" a="1"/>
  <c r="L1207" i="2" s="1"/>
  <c r="L1206" i="2" a="1"/>
  <c r="L1206" i="2" s="1"/>
  <c r="L1205" i="2" a="1"/>
  <c r="L1205" i="2" s="1"/>
  <c r="L1204" i="2" a="1"/>
  <c r="L1204" i="2" s="1"/>
  <c r="L1203" i="2" a="1"/>
  <c r="L1203" i="2" s="1"/>
  <c r="L1202" i="2" a="1"/>
  <c r="L1202" i="2" s="1"/>
  <c r="L1201" i="2" a="1"/>
  <c r="L1201" i="2" s="1"/>
  <c r="L1200" i="2" a="1"/>
  <c r="L1200" i="2" s="1"/>
  <c r="L1199" i="2" a="1"/>
  <c r="L1199" i="2" s="1"/>
  <c r="L1198" i="2" a="1"/>
  <c r="L1198" i="2" s="1"/>
  <c r="L1197" i="2" a="1"/>
  <c r="L1197" i="2" s="1"/>
  <c r="L1196" i="2" a="1"/>
  <c r="L1196" i="2" s="1"/>
  <c r="L1320" i="2" a="1"/>
  <c r="L1320" i="2" s="1"/>
  <c r="L1318" i="2" a="1"/>
  <c r="L1318" i="2" s="1"/>
  <c r="L1316" i="2" a="1"/>
  <c r="L1316" i="2" s="1"/>
  <c r="L1314" i="2" a="1"/>
  <c r="L1314" i="2" s="1"/>
  <c r="L1312" i="2" a="1"/>
  <c r="L1312" i="2" s="1"/>
  <c r="L1310" i="2" a="1"/>
  <c r="L1310" i="2" s="1"/>
  <c r="K1309" i="2" a="1"/>
  <c r="K1309" i="2" s="1"/>
  <c r="L1308" i="2" a="1"/>
  <c r="L1308" i="2" s="1"/>
  <c r="M1307" i="2" a="1"/>
  <c r="M1307" i="2" s="1"/>
  <c r="K1305" i="2" a="1"/>
  <c r="K1305" i="2" s="1"/>
  <c r="L1304" i="2" a="1"/>
  <c r="L1304" i="2" s="1"/>
  <c r="M1303" i="2" a="1"/>
  <c r="M1303" i="2" s="1"/>
  <c r="K1301" i="2" a="1"/>
  <c r="K1301" i="2" s="1"/>
  <c r="L1300" i="2" a="1"/>
  <c r="L1300" i="2" s="1"/>
  <c r="M1299" i="2" a="1"/>
  <c r="M1299" i="2" s="1"/>
  <c r="K1297" i="2" a="1"/>
  <c r="K1297" i="2" s="1"/>
  <c r="L1296" i="2" a="1"/>
  <c r="L1296" i="2" s="1"/>
  <c r="M1295" i="2" a="1"/>
  <c r="M1295" i="2" s="1"/>
  <c r="K1293" i="2" a="1"/>
  <c r="K1293" i="2" s="1"/>
  <c r="L1292" i="2" a="1"/>
  <c r="L1292" i="2" s="1"/>
  <c r="M1291" i="2" a="1"/>
  <c r="M1291" i="2" s="1"/>
  <c r="K1289" i="2" a="1"/>
  <c r="K1289" i="2" s="1"/>
  <c r="M1288" i="2" a="1"/>
  <c r="M1288" i="2" s="1"/>
  <c r="K1275" i="2" a="1"/>
  <c r="K1275" i="2" s="1"/>
  <c r="K1274" i="2" a="1"/>
  <c r="K1274" i="2" s="1"/>
  <c r="K1273" i="2" a="1"/>
  <c r="K1273" i="2" s="1"/>
  <c r="K1272" i="2" a="1"/>
  <c r="K1272" i="2" s="1"/>
  <c r="K1271" i="2" a="1"/>
  <c r="K1271" i="2" s="1"/>
  <c r="K1270" i="2" a="1"/>
  <c r="K1270" i="2" s="1"/>
  <c r="L1269" i="2" a="1"/>
  <c r="L1269" i="2" s="1"/>
  <c r="L1268" i="2" a="1"/>
  <c r="L1268" i="2" s="1"/>
  <c r="L1267" i="2" a="1"/>
  <c r="L1267" i="2" s="1"/>
  <c r="L1266" i="2" a="1"/>
  <c r="L1266" i="2" s="1"/>
  <c r="L1265" i="2" a="1"/>
  <c r="L1265" i="2" s="1"/>
  <c r="L1264" i="2" a="1"/>
  <c r="L1264" i="2" s="1"/>
  <c r="L1263" i="2" a="1"/>
  <c r="L1263" i="2" s="1"/>
  <c r="L1262" i="2" a="1"/>
  <c r="L1262" i="2" s="1"/>
  <c r="L1261" i="2" a="1"/>
  <c r="L1261" i="2" s="1"/>
  <c r="L1260" i="2" a="1"/>
  <c r="L1260" i="2" s="1"/>
  <c r="L1259" i="2" a="1"/>
  <c r="L1259" i="2" s="1"/>
  <c r="L1258" i="2" a="1"/>
  <c r="L1258" i="2" s="1"/>
  <c r="L1257" i="2" a="1"/>
  <c r="L1257" i="2" s="1"/>
  <c r="L1256" i="2" a="1"/>
  <c r="L1256" i="2" s="1"/>
  <c r="L1255" i="2" a="1"/>
  <c r="L1255" i="2" s="1"/>
  <c r="L1254" i="2" a="1"/>
  <c r="L1254" i="2" s="1"/>
  <c r="L1253" i="2" a="1"/>
  <c r="L1253" i="2" s="1"/>
  <c r="L1252" i="2" a="1"/>
  <c r="L1252" i="2" s="1"/>
  <c r="L1251" i="2" a="1"/>
  <c r="L1251" i="2" s="1"/>
  <c r="L1250" i="2" a="1"/>
  <c r="L1250" i="2" s="1"/>
  <c r="K1308" i="2" a="1"/>
  <c r="K1308" i="2" s="1"/>
  <c r="L1307" i="2" a="1"/>
  <c r="L1307" i="2" s="1"/>
  <c r="M1306" i="2" a="1"/>
  <c r="M1306" i="2" s="1"/>
  <c r="K1304" i="2" a="1"/>
  <c r="K1304" i="2" s="1"/>
  <c r="L1303" i="2" a="1"/>
  <c r="L1303" i="2" s="1"/>
  <c r="M1302" i="2" a="1"/>
  <c r="M1302" i="2" s="1"/>
  <c r="K1300" i="2" a="1"/>
  <c r="K1300" i="2" s="1"/>
  <c r="L1299" i="2" a="1"/>
  <c r="L1299" i="2" s="1"/>
  <c r="M1298" i="2" a="1"/>
  <c r="M1298" i="2" s="1"/>
  <c r="K1296" i="2" a="1"/>
  <c r="K1296" i="2" s="1"/>
  <c r="L1295" i="2" a="1"/>
  <c r="L1295" i="2" s="1"/>
  <c r="M1294" i="2" a="1"/>
  <c r="M1294" i="2" s="1"/>
  <c r="K1292" i="2" a="1"/>
  <c r="K1292" i="2" s="1"/>
  <c r="L1291" i="2" a="1"/>
  <c r="L1291" i="2" s="1"/>
  <c r="M1290" i="2" a="1"/>
  <c r="M1290" i="2" s="1"/>
  <c r="L1288" i="2" a="1"/>
  <c r="L1288" i="2" s="1"/>
  <c r="M1274" i="2" a="1"/>
  <c r="M1274" i="2" s="1"/>
  <c r="M1273" i="2" a="1"/>
  <c r="M1273" i="2" s="1"/>
  <c r="M1272" i="2" a="1"/>
  <c r="M1272" i="2" s="1"/>
  <c r="M1271" i="2" a="1"/>
  <c r="M1271" i="2" s="1"/>
  <c r="M1270" i="2" a="1"/>
  <c r="M1270" i="2" s="1"/>
  <c r="L1218" i="2" a="1"/>
  <c r="L1218" i="2" s="1"/>
  <c r="L1217" i="2" a="1"/>
  <c r="L1217" i="2" s="1"/>
  <c r="L1216" i="2" a="1"/>
  <c r="L1216" i="2" s="1"/>
  <c r="L1215" i="2" a="1"/>
  <c r="L1215" i="2" s="1"/>
  <c r="L1214" i="2" a="1"/>
  <c r="L1214" i="2" s="1"/>
  <c r="M1212" i="2" a="1"/>
  <c r="M1212" i="2" s="1"/>
  <c r="K1212" i="2" a="1"/>
  <c r="K1212" i="2" s="1"/>
  <c r="M1211" i="2" a="1"/>
  <c r="M1211" i="2" s="1"/>
  <c r="K1211" i="2" a="1"/>
  <c r="K1211" i="2" s="1"/>
  <c r="M1210" i="2" a="1"/>
  <c r="M1210" i="2" s="1"/>
  <c r="K1210" i="2" a="1"/>
  <c r="K1210" i="2" s="1"/>
  <c r="M1209" i="2" a="1"/>
  <c r="M1209" i="2" s="1"/>
  <c r="K1209" i="2" a="1"/>
  <c r="K1209" i="2" s="1"/>
  <c r="M1208" i="2" a="1"/>
  <c r="M1208" i="2" s="1"/>
  <c r="K1208" i="2" a="1"/>
  <c r="K1208" i="2" s="1"/>
  <c r="M1207" i="2" a="1"/>
  <c r="M1207" i="2" s="1"/>
  <c r="K1207" i="2" a="1"/>
  <c r="K1207" i="2" s="1"/>
  <c r="M1206" i="2" a="1"/>
  <c r="M1206" i="2" s="1"/>
  <c r="K1206" i="2" a="1"/>
  <c r="K1206" i="2" s="1"/>
  <c r="M1205" i="2" a="1"/>
  <c r="M1205" i="2" s="1"/>
  <c r="K1205" i="2" a="1"/>
  <c r="K1205" i="2" s="1"/>
  <c r="M1204" i="2" a="1"/>
  <c r="M1204" i="2" s="1"/>
  <c r="K1204" i="2" a="1"/>
  <c r="K1204" i="2" s="1"/>
  <c r="M1203" i="2" a="1"/>
  <c r="M1203" i="2" s="1"/>
  <c r="K1203" i="2" a="1"/>
  <c r="K1203" i="2" s="1"/>
  <c r="M1202" i="2" a="1"/>
  <c r="M1202" i="2" s="1"/>
  <c r="K1202" i="2" a="1"/>
  <c r="K1202" i="2" s="1"/>
  <c r="M1201" i="2" a="1"/>
  <c r="M1201" i="2" s="1"/>
  <c r="K1201" i="2" a="1"/>
  <c r="K1201" i="2" s="1"/>
  <c r="M1200" i="2" a="1"/>
  <c r="M1200" i="2" s="1"/>
  <c r="K1200" i="2" a="1"/>
  <c r="K1200" i="2" s="1"/>
  <c r="L1319" i="2" a="1"/>
  <c r="L1319" i="2" s="1"/>
  <c r="L1317" i="2" a="1"/>
  <c r="L1317" i="2" s="1"/>
  <c r="L1315" i="2" a="1"/>
  <c r="L1315" i="2" s="1"/>
  <c r="L1313" i="2" a="1"/>
  <c r="L1313" i="2" s="1"/>
  <c r="L1311" i="2" a="1"/>
  <c r="L1311" i="2" s="1"/>
  <c r="M1309" i="2" a="1"/>
  <c r="M1309" i="2" s="1"/>
  <c r="K1307" i="2" a="1"/>
  <c r="K1307" i="2" s="1"/>
  <c r="L1306" i="2" a="1"/>
  <c r="L1306" i="2" s="1"/>
  <c r="M1305" i="2" a="1"/>
  <c r="M1305" i="2" s="1"/>
  <c r="K1303" i="2" a="1"/>
  <c r="K1303" i="2" s="1"/>
  <c r="L1302" i="2" a="1"/>
  <c r="L1302" i="2" s="1"/>
  <c r="M1301" i="2" a="1"/>
  <c r="M1301" i="2" s="1"/>
  <c r="K1299" i="2" a="1"/>
  <c r="K1299" i="2" s="1"/>
  <c r="L1298" i="2" a="1"/>
  <c r="L1298" i="2" s="1"/>
  <c r="M1297" i="2" a="1"/>
  <c r="M1297" i="2" s="1"/>
  <c r="K1295" i="2" a="1"/>
  <c r="K1295" i="2" s="1"/>
  <c r="L1294" i="2" a="1"/>
  <c r="L1294" i="2" s="1"/>
  <c r="M1293" i="2" a="1"/>
  <c r="M1293" i="2" s="1"/>
  <c r="K1291" i="2" a="1"/>
  <c r="K1291" i="2" s="1"/>
  <c r="L1290" i="2" a="1"/>
  <c r="L1290" i="2" s="1"/>
  <c r="M1289" i="2" a="1"/>
  <c r="M1289" i="2" s="1"/>
  <c r="K1288" i="2" a="1"/>
  <c r="K1288" i="2" s="1"/>
  <c r="M1269" i="2" a="1"/>
  <c r="M1269" i="2" s="1"/>
  <c r="K1269" i="2" a="1"/>
  <c r="K1269" i="2" s="1"/>
  <c r="M1268" i="2" a="1"/>
  <c r="M1268" i="2" s="1"/>
  <c r="K1268" i="2" a="1"/>
  <c r="K1268" i="2" s="1"/>
  <c r="M1267" i="2" a="1"/>
  <c r="M1267" i="2" s="1"/>
  <c r="K1267" i="2" a="1"/>
  <c r="K1267" i="2" s="1"/>
  <c r="M1266" i="2" a="1"/>
  <c r="M1266" i="2" s="1"/>
  <c r="K1266" i="2" a="1"/>
  <c r="K1266" i="2" s="1"/>
  <c r="M1265" i="2" a="1"/>
  <c r="M1265" i="2" s="1"/>
  <c r="K1265" i="2" a="1"/>
  <c r="K1265" i="2" s="1"/>
  <c r="M1264" i="2" a="1"/>
  <c r="M1264" i="2" s="1"/>
  <c r="K1264" i="2" a="1"/>
  <c r="K1264" i="2" s="1"/>
  <c r="M1263" i="2" a="1"/>
  <c r="M1263" i="2" s="1"/>
  <c r="K1263" i="2" a="1"/>
  <c r="K1263" i="2" s="1"/>
  <c r="M1262" i="2" a="1"/>
  <c r="M1262" i="2" s="1"/>
  <c r="K1262" i="2" a="1"/>
  <c r="K1262" i="2" s="1"/>
  <c r="M1261" i="2" a="1"/>
  <c r="M1261" i="2" s="1"/>
  <c r="K1261" i="2" a="1"/>
  <c r="K1261" i="2" s="1"/>
  <c r="M1260" i="2" a="1"/>
  <c r="M1260" i="2" s="1"/>
  <c r="K1260" i="2" a="1"/>
  <c r="K1260" i="2" s="1"/>
  <c r="M1259" i="2" a="1"/>
  <c r="M1259" i="2" s="1"/>
  <c r="K1259" i="2" a="1"/>
  <c r="K1259" i="2" s="1"/>
  <c r="M1258" i="2" a="1"/>
  <c r="M1258" i="2" s="1"/>
  <c r="K1258" i="2" a="1"/>
  <c r="K1258" i="2" s="1"/>
  <c r="M1257" i="2" a="1"/>
  <c r="M1257" i="2" s="1"/>
  <c r="K1257" i="2" a="1"/>
  <c r="K1257" i="2" s="1"/>
  <c r="M1256" i="2" a="1"/>
  <c r="M1256" i="2" s="1"/>
  <c r="K1256" i="2" a="1"/>
  <c r="K1256" i="2" s="1"/>
  <c r="M1255" i="2" a="1"/>
  <c r="M1255" i="2" s="1"/>
  <c r="K1255" i="2" a="1"/>
  <c r="K1255" i="2" s="1"/>
  <c r="M1254" i="2" a="1"/>
  <c r="M1254" i="2" s="1"/>
  <c r="K1254" i="2" a="1"/>
  <c r="K1254" i="2" s="1"/>
  <c r="M1253" i="2" a="1"/>
  <c r="M1253" i="2" s="1"/>
  <c r="K1253" i="2" a="1"/>
  <c r="K1253" i="2" s="1"/>
  <c r="M1252" i="2" a="1"/>
  <c r="M1252" i="2" s="1"/>
  <c r="K1252" i="2" a="1"/>
  <c r="K1252" i="2" s="1"/>
  <c r="M1251" i="2" a="1"/>
  <c r="M1251" i="2" s="1"/>
  <c r="K1251" i="2" a="1"/>
  <c r="K1251" i="2" s="1"/>
  <c r="M1250" i="2" a="1"/>
  <c r="M1250" i="2" s="1"/>
  <c r="K1250" i="2" a="1"/>
  <c r="K1250" i="2" s="1"/>
  <c r="M1249" i="2" a="1"/>
  <c r="M1249" i="2" s="1"/>
  <c r="K1249" i="2" a="1"/>
  <c r="K1249" i="2" s="1"/>
  <c r="M1248" i="2" a="1"/>
  <c r="M1248" i="2" s="1"/>
  <c r="K1248" i="2" a="1"/>
  <c r="K1248" i="2" s="1"/>
  <c r="M1247" i="2" a="1"/>
  <c r="M1247" i="2" s="1"/>
  <c r="K1247" i="2" a="1"/>
  <c r="K1247" i="2" s="1"/>
  <c r="M1246" i="2" a="1"/>
  <c r="M1246" i="2" s="1"/>
  <c r="K1246" i="2" a="1"/>
  <c r="K1246" i="2" s="1"/>
  <c r="M1245" i="2" a="1"/>
  <c r="M1245" i="2" s="1"/>
  <c r="K1245" i="2" a="1"/>
  <c r="K1245" i="2" s="1"/>
  <c r="M1244" i="2" a="1"/>
  <c r="M1244" i="2" s="1"/>
  <c r="K1244" i="2" a="1"/>
  <c r="K1244" i="2" s="1"/>
  <c r="L1243" i="2" a="1"/>
  <c r="L1243" i="2" s="1"/>
  <c r="M1242" i="2" a="1"/>
  <c r="M1242" i="2" s="1"/>
  <c r="K1240" i="2" a="1"/>
  <c r="K1240" i="2" s="1"/>
  <c r="L1239" i="2" a="1"/>
  <c r="L1239" i="2" s="1"/>
  <c r="M1238" i="2" a="1"/>
  <c r="M1238" i="2" s="1"/>
  <c r="K1236" i="2" a="1"/>
  <c r="K1236" i="2" s="1"/>
  <c r="L1235" i="2" a="1"/>
  <c r="L1235" i="2" s="1"/>
  <c r="M1234" i="2" a="1"/>
  <c r="M1234" i="2" s="1"/>
  <c r="K1232" i="2" a="1"/>
  <c r="K1232" i="2" s="1"/>
  <c r="L1231" i="2" a="1"/>
  <c r="L1231" i="2" s="1"/>
  <c r="M1230" i="2" a="1"/>
  <c r="M1230" i="2" s="1"/>
  <c r="K1228" i="2" a="1"/>
  <c r="K1228" i="2" s="1"/>
  <c r="L1227" i="2" a="1"/>
  <c r="L1227" i="2" s="1"/>
  <c r="M1226" i="2" a="1"/>
  <c r="M1226" i="2" s="1"/>
  <c r="K1224" i="2" a="1"/>
  <c r="K1224" i="2" s="1"/>
  <c r="L1223" i="2" a="1"/>
  <c r="L1223" i="2" s="1"/>
  <c r="M1222" i="2" a="1"/>
  <c r="M1222" i="2" s="1"/>
  <c r="K1220" i="2" a="1"/>
  <c r="K1220" i="2" s="1"/>
  <c r="L1219" i="2" a="1"/>
  <c r="L1219" i="2" s="1"/>
  <c r="K1213" i="2" a="1"/>
  <c r="K1213" i="2" s="1"/>
  <c r="M1189" i="2" a="1"/>
  <c r="M1189" i="2" s="1"/>
  <c r="K1189" i="2" a="1"/>
  <c r="K1189" i="2" s="1"/>
  <c r="L1186" i="2" a="1"/>
  <c r="L1186" i="2" s="1"/>
  <c r="L1185" i="2" a="1"/>
  <c r="L1185" i="2" s="1"/>
  <c r="L1184" i="2" a="1"/>
  <c r="L1184" i="2" s="1"/>
  <c r="L1183" i="2" a="1"/>
  <c r="L1183" i="2" s="1"/>
  <c r="L1182" i="2" a="1"/>
  <c r="L1182" i="2" s="1"/>
  <c r="L1181" i="2" a="1"/>
  <c r="L1181" i="2" s="1"/>
  <c r="L1180" i="2" a="1"/>
  <c r="L1180" i="2" s="1"/>
  <c r="L1179" i="2" a="1"/>
  <c r="L1179" i="2" s="1"/>
  <c r="L1248" i="2" a="1"/>
  <c r="L1248" i="2" s="1"/>
  <c r="L1246" i="2" a="1"/>
  <c r="L1246" i="2" s="1"/>
  <c r="L1244" i="2" a="1"/>
  <c r="L1244" i="2" s="1"/>
  <c r="K1243" i="2" a="1"/>
  <c r="K1243" i="2" s="1"/>
  <c r="L1242" i="2" a="1"/>
  <c r="L1242" i="2" s="1"/>
  <c r="M1241" i="2" a="1"/>
  <c r="M1241" i="2" s="1"/>
  <c r="K1239" i="2" a="1"/>
  <c r="K1239" i="2" s="1"/>
  <c r="L1238" i="2" a="1"/>
  <c r="L1238" i="2" s="1"/>
  <c r="M1237" i="2" a="1"/>
  <c r="M1237" i="2" s="1"/>
  <c r="K1235" i="2" a="1"/>
  <c r="K1235" i="2" s="1"/>
  <c r="L1234" i="2" a="1"/>
  <c r="L1234" i="2" s="1"/>
  <c r="M1233" i="2" a="1"/>
  <c r="M1233" i="2" s="1"/>
  <c r="K1231" i="2" a="1"/>
  <c r="K1231" i="2" s="1"/>
  <c r="L1230" i="2" a="1"/>
  <c r="L1230" i="2" s="1"/>
  <c r="M1229" i="2" a="1"/>
  <c r="M1229" i="2" s="1"/>
  <c r="K1227" i="2" a="1"/>
  <c r="K1227" i="2" s="1"/>
  <c r="L1226" i="2" a="1"/>
  <c r="L1226" i="2" s="1"/>
  <c r="M1225" i="2" a="1"/>
  <c r="M1225" i="2" s="1"/>
  <c r="K1223" i="2" a="1"/>
  <c r="K1223" i="2" s="1"/>
  <c r="L1222" i="2" a="1"/>
  <c r="L1222" i="2" s="1"/>
  <c r="M1221" i="2" a="1"/>
  <c r="M1221" i="2" s="1"/>
  <c r="K1219" i="2" a="1"/>
  <c r="K1219" i="2" s="1"/>
  <c r="K1199" i="2" a="1"/>
  <c r="K1199" i="2" s="1"/>
  <c r="K1198" i="2" a="1"/>
  <c r="K1198" i="2" s="1"/>
  <c r="K1197" i="2" a="1"/>
  <c r="K1197" i="2" s="1"/>
  <c r="K1196" i="2" a="1"/>
  <c r="K1196" i="2" s="1"/>
  <c r="L1195" i="2" a="1"/>
  <c r="L1195" i="2" s="1"/>
  <c r="L1194" i="2" a="1"/>
  <c r="L1194" i="2" s="1"/>
  <c r="K1242" i="2" a="1"/>
  <c r="K1242" i="2" s="1"/>
  <c r="L1241" i="2" a="1"/>
  <c r="L1241" i="2" s="1"/>
  <c r="M1240" i="2" a="1"/>
  <c r="M1240" i="2" s="1"/>
  <c r="K1238" i="2" a="1"/>
  <c r="K1238" i="2" s="1"/>
  <c r="L1237" i="2" a="1"/>
  <c r="L1237" i="2" s="1"/>
  <c r="M1236" i="2" a="1"/>
  <c r="M1236" i="2" s="1"/>
  <c r="K1234" i="2" a="1"/>
  <c r="K1234" i="2" s="1"/>
  <c r="L1233" i="2" a="1"/>
  <c r="L1233" i="2" s="1"/>
  <c r="M1232" i="2" a="1"/>
  <c r="M1232" i="2" s="1"/>
  <c r="K1230" i="2" a="1"/>
  <c r="K1230" i="2" s="1"/>
  <c r="L1229" i="2" a="1"/>
  <c r="L1229" i="2" s="1"/>
  <c r="M1228" i="2" a="1"/>
  <c r="M1228" i="2" s="1"/>
  <c r="K1226" i="2" a="1"/>
  <c r="K1226" i="2" s="1"/>
  <c r="L1225" i="2" a="1"/>
  <c r="L1225" i="2" s="1"/>
  <c r="M1224" i="2" a="1"/>
  <c r="M1224" i="2" s="1"/>
  <c r="K1222" i="2" a="1"/>
  <c r="K1222" i="2" s="1"/>
  <c r="L1221" i="2" a="1"/>
  <c r="L1221" i="2" s="1"/>
  <c r="M1220" i="2" a="1"/>
  <c r="M1220" i="2" s="1"/>
  <c r="M1213" i="2" a="1"/>
  <c r="M1213" i="2" s="1"/>
  <c r="M1199" i="2" a="1"/>
  <c r="M1199" i="2" s="1"/>
  <c r="M1198" i="2" a="1"/>
  <c r="M1198" i="2" s="1"/>
  <c r="M1197" i="2" a="1"/>
  <c r="M1197" i="2" s="1"/>
  <c r="M1196" i="2" a="1"/>
  <c r="M1196" i="2" s="1"/>
  <c r="L1189" i="2" a="1"/>
  <c r="L1189" i="2" s="1"/>
  <c r="M1186" i="2" a="1"/>
  <c r="M1186" i="2" s="1"/>
  <c r="K1186" i="2" a="1"/>
  <c r="K1186" i="2" s="1"/>
  <c r="M1185" i="2" a="1"/>
  <c r="M1185" i="2" s="1"/>
  <c r="K1185" i="2" a="1"/>
  <c r="K1185" i="2" s="1"/>
  <c r="M1184" i="2" a="1"/>
  <c r="M1184" i="2" s="1"/>
  <c r="K1184" i="2" a="1"/>
  <c r="K1184" i="2" s="1"/>
  <c r="M1183" i="2" a="1"/>
  <c r="M1183" i="2" s="1"/>
  <c r="K1183" i="2" a="1"/>
  <c r="K1183" i="2" s="1"/>
  <c r="M1182" i="2" a="1"/>
  <c r="M1182" i="2" s="1"/>
  <c r="K1182" i="2" a="1"/>
  <c r="K1182" i="2" s="1"/>
  <c r="M1181" i="2" a="1"/>
  <c r="M1181" i="2" s="1"/>
  <c r="K1181" i="2" a="1"/>
  <c r="K1181" i="2" s="1"/>
  <c r="M1180" i="2" a="1"/>
  <c r="M1180" i="2" s="1"/>
  <c r="K1180" i="2" a="1"/>
  <c r="K1180" i="2" s="1"/>
  <c r="M1179" i="2" a="1"/>
  <c r="M1179" i="2" s="1"/>
  <c r="K1179" i="2" a="1"/>
  <c r="K1179" i="2" s="1"/>
  <c r="L1249" i="2" a="1"/>
  <c r="L1249" i="2" s="1"/>
  <c r="L1247" i="2" a="1"/>
  <c r="L1247" i="2" s="1"/>
  <c r="L1245" i="2" a="1"/>
  <c r="L1245" i="2" s="1"/>
  <c r="M1243" i="2" a="1"/>
  <c r="M1243" i="2" s="1"/>
  <c r="K1241" i="2" a="1"/>
  <c r="K1241" i="2" s="1"/>
  <c r="L1240" i="2" a="1"/>
  <c r="L1240" i="2" s="1"/>
  <c r="M1239" i="2" a="1"/>
  <c r="M1239" i="2" s="1"/>
  <c r="K1237" i="2" a="1"/>
  <c r="K1237" i="2" s="1"/>
  <c r="L1236" i="2" a="1"/>
  <c r="L1236" i="2" s="1"/>
  <c r="M1235" i="2" a="1"/>
  <c r="M1235" i="2" s="1"/>
  <c r="K1233" i="2" a="1"/>
  <c r="K1233" i="2" s="1"/>
  <c r="L1232" i="2" a="1"/>
  <c r="L1232" i="2" s="1"/>
  <c r="M1231" i="2" a="1"/>
  <c r="M1231" i="2" s="1"/>
  <c r="K1229" i="2" a="1"/>
  <c r="K1229" i="2" s="1"/>
  <c r="L1228" i="2" a="1"/>
  <c r="L1228" i="2" s="1"/>
  <c r="M1227" i="2" a="1"/>
  <c r="M1227" i="2" s="1"/>
  <c r="K1225" i="2" a="1"/>
  <c r="K1225" i="2" s="1"/>
  <c r="L1224" i="2" a="1"/>
  <c r="L1224" i="2" s="1"/>
  <c r="M1223" i="2" a="1"/>
  <c r="M1223" i="2" s="1"/>
  <c r="K1221" i="2" a="1"/>
  <c r="K1221" i="2" s="1"/>
  <c r="L1220" i="2" a="1"/>
  <c r="L1220" i="2" s="1"/>
  <c r="M1219" i="2" a="1"/>
  <c r="M1219" i="2" s="1"/>
  <c r="L1213" i="2" a="1"/>
  <c r="L1213" i="2" s="1"/>
  <c r="M1195" i="2" a="1"/>
  <c r="M1195" i="2" s="1"/>
  <c r="K1195" i="2" a="1"/>
  <c r="K1195" i="2" s="1"/>
  <c r="M1194" i="2" a="1"/>
  <c r="M1194" i="2" s="1"/>
  <c r="K1194" i="2" a="1"/>
  <c r="K1194" i="2" s="1"/>
  <c r="M1193" i="2" a="1"/>
  <c r="M1193" i="2" s="1"/>
  <c r="K1193" i="2" a="1"/>
  <c r="K1193" i="2" s="1"/>
  <c r="M1192" i="2" a="1"/>
  <c r="M1192" i="2" s="1"/>
  <c r="K1192" i="2" a="1"/>
  <c r="K1192" i="2" s="1"/>
  <c r="M1191" i="2" a="1"/>
  <c r="M1191" i="2" s="1"/>
  <c r="K1191" i="2" a="1"/>
  <c r="K1191" i="2" s="1"/>
  <c r="M1190" i="2" a="1"/>
  <c r="M1190" i="2" s="1"/>
  <c r="K1190" i="2" a="1"/>
  <c r="K1190" i="2" s="1"/>
  <c r="L1188" i="2" a="1"/>
  <c r="L1188" i="2" s="1"/>
  <c r="L1187" i="2" a="1"/>
  <c r="L1187" i="2" s="1"/>
  <c r="L1178" i="2" a="1"/>
  <c r="L1178" i="2" s="1"/>
  <c r="M1177" i="2" a="1"/>
  <c r="M1177" i="2" s="1"/>
  <c r="K1176" i="2" a="1"/>
  <c r="K1176" i="2" s="1"/>
  <c r="L1174" i="2" a="1"/>
  <c r="L1174" i="2" s="1"/>
  <c r="M1173" i="2" a="1"/>
  <c r="M1173" i="2" s="1"/>
  <c r="K1172" i="2" a="1"/>
  <c r="K1172" i="2" s="1"/>
  <c r="L1170" i="2" a="1"/>
  <c r="L1170" i="2" s="1"/>
  <c r="M1169" i="2" a="1"/>
  <c r="M1169" i="2" s="1"/>
  <c r="K1168" i="2" a="1"/>
  <c r="K1168" i="2" s="1"/>
  <c r="L1166" i="2" a="1"/>
  <c r="L1166" i="2" s="1"/>
  <c r="M1165" i="2" a="1"/>
  <c r="M1165" i="2" s="1"/>
  <c r="K1164" i="2" a="1"/>
  <c r="K1164" i="2" s="1"/>
  <c r="L1162" i="2" a="1"/>
  <c r="L1162" i="2" s="1"/>
  <c r="M1161" i="2" a="1"/>
  <c r="M1161" i="2" s="1"/>
  <c r="K1160" i="2" a="1"/>
  <c r="K1160" i="2" s="1"/>
  <c r="L1158" i="2" a="1"/>
  <c r="L1158" i="2" s="1"/>
  <c r="M1157" i="2" a="1"/>
  <c r="M1157" i="2" s="1"/>
  <c r="K1156" i="2" a="1"/>
  <c r="K1156" i="2" s="1"/>
  <c r="L1154" i="2" a="1"/>
  <c r="L1154" i="2" s="1"/>
  <c r="M1153" i="2" a="1"/>
  <c r="M1153" i="2" s="1"/>
  <c r="K1152" i="2" a="1"/>
  <c r="K1152" i="2" s="1"/>
  <c r="L1150" i="2" a="1"/>
  <c r="L1150" i="2" s="1"/>
  <c r="M1149" i="2" a="1"/>
  <c r="M1149" i="2" s="1"/>
  <c r="K1148" i="2" a="1"/>
  <c r="K1148" i="2" s="1"/>
  <c r="L1146" i="2" a="1"/>
  <c r="L1146" i="2" s="1"/>
  <c r="M1145" i="2" a="1"/>
  <c r="M1145" i="2" s="1"/>
  <c r="K1144" i="2" a="1"/>
  <c r="K1144" i="2" s="1"/>
  <c r="L1142" i="2" a="1"/>
  <c r="L1142" i="2" s="1"/>
  <c r="M1141" i="2" a="1"/>
  <c r="M1141" i="2" s="1"/>
  <c r="K1140" i="2" a="1"/>
  <c r="K1140" i="2" s="1"/>
  <c r="L1138" i="2" a="1"/>
  <c r="L1138" i="2" s="1"/>
  <c r="M1137" i="2" a="1"/>
  <c r="M1137" i="2" s="1"/>
  <c r="K1136" i="2" a="1"/>
  <c r="K1136" i="2" s="1"/>
  <c r="L1134" i="2" a="1"/>
  <c r="L1134" i="2" s="1"/>
  <c r="M1133" i="2" a="1"/>
  <c r="M1133" i="2" s="1"/>
  <c r="K1132" i="2" a="1"/>
  <c r="K1132" i="2" s="1"/>
  <c r="L1130" i="2" a="1"/>
  <c r="L1130" i="2" s="1"/>
  <c r="M1129" i="2" a="1"/>
  <c r="M1129" i="2" s="1"/>
  <c r="K1128" i="2" a="1"/>
  <c r="K1128" i="2" s="1"/>
  <c r="L1126" i="2" a="1"/>
  <c r="L1126" i="2" s="1"/>
  <c r="M1125" i="2" a="1"/>
  <c r="M1125" i="2" s="1"/>
  <c r="K1124" i="2" a="1"/>
  <c r="K1124" i="2" s="1"/>
  <c r="L1122" i="2" a="1"/>
  <c r="L1122" i="2" s="1"/>
  <c r="M1121" i="2" a="1"/>
  <c r="M1121" i="2" s="1"/>
  <c r="K1120" i="2" a="1"/>
  <c r="K1120" i="2" s="1"/>
  <c r="L1118" i="2" a="1"/>
  <c r="L1118" i="2" s="1"/>
  <c r="M1117" i="2" a="1"/>
  <c r="M1117" i="2" s="1"/>
  <c r="K1116" i="2" a="1"/>
  <c r="K1116" i="2" s="1"/>
  <c r="M1115" i="2" a="1"/>
  <c r="M1115" i="2" s="1"/>
  <c r="K1115" i="2" a="1"/>
  <c r="K1115" i="2" s="1"/>
  <c r="M1114" i="2" a="1"/>
  <c r="M1114" i="2" s="1"/>
  <c r="K1114" i="2" a="1"/>
  <c r="K1114" i="2" s="1"/>
  <c r="M1113" i="2" a="1"/>
  <c r="M1113" i="2" s="1"/>
  <c r="K1113" i="2" a="1"/>
  <c r="K1113" i="2" s="1"/>
  <c r="M1112" i="2" a="1"/>
  <c r="M1112" i="2" s="1"/>
  <c r="K1112" i="2" a="1"/>
  <c r="K1112" i="2" s="1"/>
  <c r="M1111" i="2" a="1"/>
  <c r="M1111" i="2" s="1"/>
  <c r="K1111" i="2" a="1"/>
  <c r="K1111" i="2" s="1"/>
  <c r="M1110" i="2" a="1"/>
  <c r="M1110" i="2" s="1"/>
  <c r="K1110" i="2" a="1"/>
  <c r="K1110" i="2" s="1"/>
  <c r="M1109" i="2" a="1"/>
  <c r="M1109" i="2" s="1"/>
  <c r="K1109" i="2" a="1"/>
  <c r="K1109" i="2" s="1"/>
  <c r="M1108" i="2" a="1"/>
  <c r="M1108" i="2" s="1"/>
  <c r="K1108" i="2" a="1"/>
  <c r="K1108" i="2" s="1"/>
  <c r="M1107" i="2" a="1"/>
  <c r="M1107" i="2" s="1"/>
  <c r="K1107" i="2" a="1"/>
  <c r="K1107" i="2" s="1"/>
  <c r="M1106" i="2" a="1"/>
  <c r="M1106" i="2" s="1"/>
  <c r="K1106" i="2" a="1"/>
  <c r="K1106" i="2" s="1"/>
  <c r="M1105" i="2" a="1"/>
  <c r="M1105" i="2" s="1"/>
  <c r="K1105" i="2" a="1"/>
  <c r="K1105" i="2" s="1"/>
  <c r="M1104" i="2" a="1"/>
  <c r="M1104" i="2" s="1"/>
  <c r="K1104" i="2" a="1"/>
  <c r="K1104" i="2" s="1"/>
  <c r="M1103" i="2" a="1"/>
  <c r="M1103" i="2" s="1"/>
  <c r="K1103" i="2" a="1"/>
  <c r="K1103" i="2" s="1"/>
  <c r="M1102" i="2" a="1"/>
  <c r="M1102" i="2" s="1"/>
  <c r="K1102" i="2" a="1"/>
  <c r="K1102" i="2" s="1"/>
  <c r="M1101" i="2" a="1"/>
  <c r="M1101" i="2" s="1"/>
  <c r="K1101" i="2" a="1"/>
  <c r="K1101" i="2" s="1"/>
  <c r="M1100" i="2" a="1"/>
  <c r="M1100" i="2" s="1"/>
  <c r="K1100" i="2" a="1"/>
  <c r="K1100" i="2" s="1"/>
  <c r="L1193" i="2" a="1"/>
  <c r="L1193" i="2" s="1"/>
  <c r="L1191" i="2" a="1"/>
  <c r="L1191" i="2" s="1"/>
  <c r="M1188" i="2" a="1"/>
  <c r="M1188" i="2" s="1"/>
  <c r="L1177" i="2" a="1"/>
  <c r="L1177" i="2" s="1"/>
  <c r="M1176" i="2" a="1"/>
  <c r="M1176" i="2" s="1"/>
  <c r="K1175" i="2" a="1"/>
  <c r="K1175" i="2" s="1"/>
  <c r="L1173" i="2" a="1"/>
  <c r="L1173" i="2" s="1"/>
  <c r="M1172" i="2" a="1"/>
  <c r="M1172" i="2" s="1"/>
  <c r="K1171" i="2" a="1"/>
  <c r="K1171" i="2" s="1"/>
  <c r="L1169" i="2" a="1"/>
  <c r="L1169" i="2" s="1"/>
  <c r="M1168" i="2" a="1"/>
  <c r="M1168" i="2" s="1"/>
  <c r="K1167" i="2" a="1"/>
  <c r="K1167" i="2" s="1"/>
  <c r="L1165" i="2" a="1"/>
  <c r="L1165" i="2" s="1"/>
  <c r="M1164" i="2" a="1"/>
  <c r="M1164" i="2" s="1"/>
  <c r="K1163" i="2" a="1"/>
  <c r="K1163" i="2" s="1"/>
  <c r="L1161" i="2" a="1"/>
  <c r="L1161" i="2" s="1"/>
  <c r="M1160" i="2" a="1"/>
  <c r="M1160" i="2" s="1"/>
  <c r="K1159" i="2" a="1"/>
  <c r="K1159" i="2" s="1"/>
  <c r="L1157" i="2" a="1"/>
  <c r="L1157" i="2" s="1"/>
  <c r="M1156" i="2" a="1"/>
  <c r="M1156" i="2" s="1"/>
  <c r="K1155" i="2" a="1"/>
  <c r="K1155" i="2" s="1"/>
  <c r="L1153" i="2" a="1"/>
  <c r="L1153" i="2" s="1"/>
  <c r="M1152" i="2" a="1"/>
  <c r="M1152" i="2" s="1"/>
  <c r="K1151" i="2" a="1"/>
  <c r="K1151" i="2" s="1"/>
  <c r="L1149" i="2" a="1"/>
  <c r="L1149" i="2" s="1"/>
  <c r="M1148" i="2" a="1"/>
  <c r="M1148" i="2" s="1"/>
  <c r="K1147" i="2" a="1"/>
  <c r="K1147" i="2" s="1"/>
  <c r="L1145" i="2" a="1"/>
  <c r="L1145" i="2" s="1"/>
  <c r="M1144" i="2" a="1"/>
  <c r="M1144" i="2" s="1"/>
  <c r="K1143" i="2" a="1"/>
  <c r="K1143" i="2" s="1"/>
  <c r="L1141" i="2" a="1"/>
  <c r="L1141" i="2" s="1"/>
  <c r="M1140" i="2" a="1"/>
  <c r="M1140" i="2" s="1"/>
  <c r="K1139" i="2" a="1"/>
  <c r="K1139" i="2" s="1"/>
  <c r="L1137" i="2" a="1"/>
  <c r="L1137" i="2" s="1"/>
  <c r="M1136" i="2" a="1"/>
  <c r="M1136" i="2" s="1"/>
  <c r="K1135" i="2" a="1"/>
  <c r="K1135" i="2" s="1"/>
  <c r="L1133" i="2" a="1"/>
  <c r="L1133" i="2" s="1"/>
  <c r="M1132" i="2" a="1"/>
  <c r="M1132" i="2" s="1"/>
  <c r="K1131" i="2" a="1"/>
  <c r="K1131" i="2" s="1"/>
  <c r="L1129" i="2" a="1"/>
  <c r="L1129" i="2" s="1"/>
  <c r="M1128" i="2" a="1"/>
  <c r="M1128" i="2" s="1"/>
  <c r="K1127" i="2" a="1"/>
  <c r="K1127" i="2" s="1"/>
  <c r="L1125" i="2" a="1"/>
  <c r="L1125" i="2" s="1"/>
  <c r="M1124" i="2" a="1"/>
  <c r="M1124" i="2" s="1"/>
  <c r="K1123" i="2" a="1"/>
  <c r="K1123" i="2" s="1"/>
  <c r="L1121" i="2" a="1"/>
  <c r="L1121" i="2" s="1"/>
  <c r="M1120" i="2" a="1"/>
  <c r="M1120" i="2" s="1"/>
  <c r="K1119" i="2" a="1"/>
  <c r="K1119" i="2" s="1"/>
  <c r="L1117" i="2" a="1"/>
  <c r="L1117" i="2" s="1"/>
  <c r="M1116" i="2" a="1"/>
  <c r="M1116" i="2" s="1"/>
  <c r="M1099" i="2" a="1"/>
  <c r="M1099" i="2" s="1"/>
  <c r="K1099" i="2" a="1"/>
  <c r="K1099" i="2" s="1"/>
  <c r="M1098" i="2" a="1"/>
  <c r="M1098" i="2" s="1"/>
  <c r="K1098" i="2" a="1"/>
  <c r="K1098" i="2" s="1"/>
  <c r="M1097" i="2" a="1"/>
  <c r="M1097" i="2" s="1"/>
  <c r="K1097" i="2" a="1"/>
  <c r="K1097" i="2" s="1"/>
  <c r="M1096" i="2" a="1"/>
  <c r="M1096" i="2" s="1"/>
  <c r="K1096" i="2" a="1"/>
  <c r="K1096" i="2" s="1"/>
  <c r="M1095" i="2" a="1"/>
  <c r="M1095" i="2" s="1"/>
  <c r="K1095" i="2" a="1"/>
  <c r="K1095" i="2" s="1"/>
  <c r="M1094" i="2" a="1"/>
  <c r="M1094" i="2" s="1"/>
  <c r="K1094" i="2" a="1"/>
  <c r="K1094" i="2" s="1"/>
  <c r="M1093" i="2" a="1"/>
  <c r="M1093" i="2" s="1"/>
  <c r="K1093" i="2" a="1"/>
  <c r="K1093" i="2" s="1"/>
  <c r="M1092" i="2" a="1"/>
  <c r="M1092" i="2" s="1"/>
  <c r="K1092" i="2" a="1"/>
  <c r="K1092" i="2" s="1"/>
  <c r="M1091" i="2" a="1"/>
  <c r="M1091" i="2" s="1"/>
  <c r="K1091" i="2" a="1"/>
  <c r="K1091" i="2" s="1"/>
  <c r="M1090" i="2" a="1"/>
  <c r="M1090" i="2" s="1"/>
  <c r="K1090" i="2" a="1"/>
  <c r="K1090" i="2" s="1"/>
  <c r="M1089" i="2" a="1"/>
  <c r="M1089" i="2" s="1"/>
  <c r="K1089" i="2" a="1"/>
  <c r="K1089" i="2" s="1"/>
  <c r="M1088" i="2" a="1"/>
  <c r="M1088" i="2" s="1"/>
  <c r="K1088" i="2" a="1"/>
  <c r="K1088" i="2" s="1"/>
  <c r="M1087" i="2" a="1"/>
  <c r="M1087" i="2" s="1"/>
  <c r="K1087" i="2" a="1"/>
  <c r="K1087" i="2" s="1"/>
  <c r="M1086" i="2" a="1"/>
  <c r="M1086" i="2" s="1"/>
  <c r="K1086" i="2" a="1"/>
  <c r="K1086" i="2" s="1"/>
  <c r="M1085" i="2" a="1"/>
  <c r="M1085" i="2" s="1"/>
  <c r="K1085" i="2" a="1"/>
  <c r="K1085" i="2" s="1"/>
  <c r="M1084" i="2" a="1"/>
  <c r="M1084" i="2" s="1"/>
  <c r="K1084" i="2" a="1"/>
  <c r="K1084" i="2" s="1"/>
  <c r="M1083" i="2" a="1"/>
  <c r="M1083" i="2" s="1"/>
  <c r="K1083" i="2" a="1"/>
  <c r="K1083" i="2" s="1"/>
  <c r="M1082" i="2" a="1"/>
  <c r="M1082" i="2" s="1"/>
  <c r="K1082" i="2" a="1"/>
  <c r="K1082" i="2" s="1"/>
  <c r="M1081" i="2" a="1"/>
  <c r="M1081" i="2" s="1"/>
  <c r="K1081" i="2" a="1"/>
  <c r="K1081" i="2" s="1"/>
  <c r="M1080" i="2" a="1"/>
  <c r="M1080" i="2" s="1"/>
  <c r="K1080" i="2" a="1"/>
  <c r="K1080" i="2" s="1"/>
  <c r="M1079" i="2" a="1"/>
  <c r="M1079" i="2" s="1"/>
  <c r="K1079" i="2" a="1"/>
  <c r="K1079" i="2" s="1"/>
  <c r="M1078" i="2" a="1"/>
  <c r="M1078" i="2" s="1"/>
  <c r="K1078" i="2" a="1"/>
  <c r="K1078" i="2" s="1"/>
  <c r="M1077" i="2" a="1"/>
  <c r="M1077" i="2" s="1"/>
  <c r="K1077" i="2" a="1"/>
  <c r="K1077" i="2" s="1"/>
  <c r="M1076" i="2" a="1"/>
  <c r="M1076" i="2" s="1"/>
  <c r="K1076" i="2" a="1"/>
  <c r="K1076" i="2" s="1"/>
  <c r="M1075" i="2" a="1"/>
  <c r="M1075" i="2" s="1"/>
  <c r="K1075" i="2" a="1"/>
  <c r="K1075" i="2" s="1"/>
  <c r="M1074" i="2" a="1"/>
  <c r="M1074" i="2" s="1"/>
  <c r="K1074" i="2" a="1"/>
  <c r="K1074" i="2" s="1"/>
  <c r="K1188" i="2" a="1"/>
  <c r="K1188" i="2" s="1"/>
  <c r="M1187" i="2" a="1"/>
  <c r="M1187" i="2" s="1"/>
  <c r="K1178" i="2" a="1"/>
  <c r="K1178" i="2" s="1"/>
  <c r="L1176" i="2" a="1"/>
  <c r="L1176" i="2" s="1"/>
  <c r="M1175" i="2" a="1"/>
  <c r="M1175" i="2" s="1"/>
  <c r="K1174" i="2" a="1"/>
  <c r="K1174" i="2" s="1"/>
  <c r="L1172" i="2" a="1"/>
  <c r="L1172" i="2" s="1"/>
  <c r="M1171" i="2" a="1"/>
  <c r="M1171" i="2" s="1"/>
  <c r="K1170" i="2" a="1"/>
  <c r="K1170" i="2" s="1"/>
  <c r="L1168" i="2" a="1"/>
  <c r="L1168" i="2" s="1"/>
  <c r="M1167" i="2" a="1"/>
  <c r="M1167" i="2" s="1"/>
  <c r="K1166" i="2" a="1"/>
  <c r="K1166" i="2" s="1"/>
  <c r="L1164" i="2" a="1"/>
  <c r="L1164" i="2" s="1"/>
  <c r="M1163" i="2" a="1"/>
  <c r="M1163" i="2" s="1"/>
  <c r="K1162" i="2" a="1"/>
  <c r="K1162" i="2" s="1"/>
  <c r="L1160" i="2" a="1"/>
  <c r="L1160" i="2" s="1"/>
  <c r="M1159" i="2" a="1"/>
  <c r="M1159" i="2" s="1"/>
  <c r="K1158" i="2" a="1"/>
  <c r="K1158" i="2" s="1"/>
  <c r="L1156" i="2" a="1"/>
  <c r="L1156" i="2" s="1"/>
  <c r="M1155" i="2" a="1"/>
  <c r="M1155" i="2" s="1"/>
  <c r="K1154" i="2" a="1"/>
  <c r="K1154" i="2" s="1"/>
  <c r="L1152" i="2" a="1"/>
  <c r="L1152" i="2" s="1"/>
  <c r="M1151" i="2" a="1"/>
  <c r="M1151" i="2" s="1"/>
  <c r="K1150" i="2" a="1"/>
  <c r="K1150" i="2" s="1"/>
  <c r="L1148" i="2" a="1"/>
  <c r="L1148" i="2" s="1"/>
  <c r="M1147" i="2" a="1"/>
  <c r="M1147" i="2" s="1"/>
  <c r="K1146" i="2" a="1"/>
  <c r="K1146" i="2" s="1"/>
  <c r="L1144" i="2" a="1"/>
  <c r="L1144" i="2" s="1"/>
  <c r="M1143" i="2" a="1"/>
  <c r="M1143" i="2" s="1"/>
  <c r="K1142" i="2" a="1"/>
  <c r="K1142" i="2" s="1"/>
  <c r="L1140" i="2" a="1"/>
  <c r="L1140" i="2" s="1"/>
  <c r="M1139" i="2" a="1"/>
  <c r="M1139" i="2" s="1"/>
  <c r="K1138" i="2" a="1"/>
  <c r="K1138" i="2" s="1"/>
  <c r="L1136" i="2" a="1"/>
  <c r="L1136" i="2" s="1"/>
  <c r="M1135" i="2" a="1"/>
  <c r="M1135" i="2" s="1"/>
  <c r="K1134" i="2" a="1"/>
  <c r="K1134" i="2" s="1"/>
  <c r="L1132" i="2" a="1"/>
  <c r="L1132" i="2" s="1"/>
  <c r="M1131" i="2" a="1"/>
  <c r="M1131" i="2" s="1"/>
  <c r="K1130" i="2" a="1"/>
  <c r="K1130" i="2" s="1"/>
  <c r="L1128" i="2" a="1"/>
  <c r="L1128" i="2" s="1"/>
  <c r="M1127" i="2" a="1"/>
  <c r="M1127" i="2" s="1"/>
  <c r="K1126" i="2" a="1"/>
  <c r="K1126" i="2" s="1"/>
  <c r="L1124" i="2" a="1"/>
  <c r="L1124" i="2" s="1"/>
  <c r="M1123" i="2" a="1"/>
  <c r="M1123" i="2" s="1"/>
  <c r="K1122" i="2" a="1"/>
  <c r="K1122" i="2" s="1"/>
  <c r="L1120" i="2" a="1"/>
  <c r="L1120" i="2" s="1"/>
  <c r="M1119" i="2" a="1"/>
  <c r="M1119" i="2" s="1"/>
  <c r="K1118" i="2" a="1"/>
  <c r="K1118" i="2" s="1"/>
  <c r="L1116" i="2" a="1"/>
  <c r="L1116" i="2" s="1"/>
  <c r="L1115" i="2" a="1"/>
  <c r="L1115" i="2" s="1"/>
  <c r="L1114" i="2" a="1"/>
  <c r="L1114" i="2" s="1"/>
  <c r="L1113" i="2" a="1"/>
  <c r="L1113" i="2" s="1"/>
  <c r="L1112" i="2" a="1"/>
  <c r="L1112" i="2" s="1"/>
  <c r="L1111" i="2" a="1"/>
  <c r="L1111" i="2" s="1"/>
  <c r="L1110" i="2" a="1"/>
  <c r="L1110" i="2" s="1"/>
  <c r="L1109" i="2" a="1"/>
  <c r="L1109" i="2" s="1"/>
  <c r="L1192" i="2" a="1"/>
  <c r="L1192" i="2" s="1"/>
  <c r="L1190" i="2" a="1"/>
  <c r="L1190" i="2" s="1"/>
  <c r="K1187" i="2" a="1"/>
  <c r="K1187" i="2" s="1"/>
  <c r="M1178" i="2" a="1"/>
  <c r="M1178" i="2" s="1"/>
  <c r="K1177" i="2" a="1"/>
  <c r="K1177" i="2" s="1"/>
  <c r="L1175" i="2" a="1"/>
  <c r="L1175" i="2" s="1"/>
  <c r="M1174" i="2" a="1"/>
  <c r="M1174" i="2" s="1"/>
  <c r="K1173" i="2" a="1"/>
  <c r="K1173" i="2" s="1"/>
  <c r="L1171" i="2" a="1"/>
  <c r="L1171" i="2" s="1"/>
  <c r="M1170" i="2" a="1"/>
  <c r="M1170" i="2" s="1"/>
  <c r="K1169" i="2" a="1"/>
  <c r="K1169" i="2" s="1"/>
  <c r="L1167" i="2" a="1"/>
  <c r="L1167" i="2" s="1"/>
  <c r="M1166" i="2" a="1"/>
  <c r="M1166" i="2" s="1"/>
  <c r="K1165" i="2" a="1"/>
  <c r="K1165" i="2" s="1"/>
  <c r="L1163" i="2" a="1"/>
  <c r="L1163" i="2" s="1"/>
  <c r="M1162" i="2" a="1"/>
  <c r="M1162" i="2" s="1"/>
  <c r="K1161" i="2" a="1"/>
  <c r="K1161" i="2" s="1"/>
  <c r="L1159" i="2" a="1"/>
  <c r="L1159" i="2" s="1"/>
  <c r="M1158" i="2" a="1"/>
  <c r="M1158" i="2" s="1"/>
  <c r="K1157" i="2" a="1"/>
  <c r="K1157" i="2" s="1"/>
  <c r="L1155" i="2" a="1"/>
  <c r="L1155" i="2" s="1"/>
  <c r="M1154" i="2" a="1"/>
  <c r="M1154" i="2" s="1"/>
  <c r="K1153" i="2" a="1"/>
  <c r="K1153" i="2" s="1"/>
  <c r="L1151" i="2" a="1"/>
  <c r="L1151" i="2" s="1"/>
  <c r="M1150" i="2" a="1"/>
  <c r="M1150" i="2" s="1"/>
  <c r="K1149" i="2" a="1"/>
  <c r="K1149" i="2" s="1"/>
  <c r="L1147" i="2" a="1"/>
  <c r="L1147" i="2" s="1"/>
  <c r="M1146" i="2" a="1"/>
  <c r="M1146" i="2" s="1"/>
  <c r="K1145" i="2" a="1"/>
  <c r="K1145" i="2" s="1"/>
  <c r="L1143" i="2" a="1"/>
  <c r="L1143" i="2" s="1"/>
  <c r="M1142" i="2" a="1"/>
  <c r="M1142" i="2" s="1"/>
  <c r="K1141" i="2" a="1"/>
  <c r="K1141" i="2" s="1"/>
  <c r="L1139" i="2" a="1"/>
  <c r="L1139" i="2" s="1"/>
  <c r="M1138" i="2" a="1"/>
  <c r="M1138" i="2" s="1"/>
  <c r="K1137" i="2" a="1"/>
  <c r="K1137" i="2" s="1"/>
  <c r="L1135" i="2" a="1"/>
  <c r="L1135" i="2" s="1"/>
  <c r="M1134" i="2" a="1"/>
  <c r="M1134" i="2" s="1"/>
  <c r="K1133" i="2" a="1"/>
  <c r="K1133" i="2" s="1"/>
  <c r="L1131" i="2" a="1"/>
  <c r="L1131" i="2" s="1"/>
  <c r="M1130" i="2" a="1"/>
  <c r="M1130" i="2" s="1"/>
  <c r="K1129" i="2" a="1"/>
  <c r="K1129" i="2" s="1"/>
  <c r="L1127" i="2" a="1"/>
  <c r="L1127" i="2" s="1"/>
  <c r="M1126" i="2" a="1"/>
  <c r="M1126" i="2" s="1"/>
  <c r="K1125" i="2" a="1"/>
  <c r="K1125" i="2" s="1"/>
  <c r="L1123" i="2" a="1"/>
  <c r="L1123" i="2" s="1"/>
  <c r="M1122" i="2" a="1"/>
  <c r="M1122" i="2" s="1"/>
  <c r="K1121" i="2" a="1"/>
  <c r="K1121" i="2" s="1"/>
  <c r="L1119" i="2" a="1"/>
  <c r="L1119" i="2" s="1"/>
  <c r="M1118" i="2" a="1"/>
  <c r="M1118" i="2" s="1"/>
  <c r="K1117" i="2" a="1"/>
  <c r="K1117" i="2" s="1"/>
  <c r="L1099" i="2" a="1"/>
  <c r="L1099" i="2" s="1"/>
  <c r="L1098" i="2" a="1"/>
  <c r="L1098" i="2" s="1"/>
  <c r="L1097" i="2" a="1"/>
  <c r="L1097" i="2" s="1"/>
  <c r="L1096" i="2" a="1"/>
  <c r="L1096" i="2" s="1"/>
  <c r="L1095" i="2" a="1"/>
  <c r="L1095" i="2" s="1"/>
  <c r="L1094" i="2" a="1"/>
  <c r="L1094" i="2" s="1"/>
  <c r="L1093" i="2" a="1"/>
  <c r="L1093" i="2" s="1"/>
  <c r="L1092" i="2" a="1"/>
  <c r="L1092" i="2" s="1"/>
  <c r="L1091" i="2" a="1"/>
  <c r="L1091" i="2" s="1"/>
  <c r="L1089" i="2" a="1"/>
  <c r="L1089" i="2" s="1"/>
  <c r="L1085" i="2" a="1"/>
  <c r="L1085" i="2" s="1"/>
  <c r="L1081" i="2" a="1"/>
  <c r="L1081" i="2" s="1"/>
  <c r="L1077" i="2" a="1"/>
  <c r="L1077" i="2" s="1"/>
  <c r="M1073" i="2" a="1"/>
  <c r="M1073" i="2" s="1"/>
  <c r="M1072" i="2" a="1"/>
  <c r="M1072" i="2" s="1"/>
  <c r="M891" i="2" a="1"/>
  <c r="M891" i="2" s="1"/>
  <c r="K891" i="2" a="1"/>
  <c r="K891" i="2" s="1"/>
  <c r="M890" i="2" a="1"/>
  <c r="M890" i="2" s="1"/>
  <c r="K890" i="2" a="1"/>
  <c r="K890" i="2" s="1"/>
  <c r="M889" i="2" a="1"/>
  <c r="M889" i="2" s="1"/>
  <c r="K889" i="2" a="1"/>
  <c r="K889" i="2" s="1"/>
  <c r="M888" i="2" a="1"/>
  <c r="M888" i="2" s="1"/>
  <c r="K888" i="2" a="1"/>
  <c r="K888" i="2" s="1"/>
  <c r="L886" i="2" a="1"/>
  <c r="L886" i="2" s="1"/>
  <c r="M884" i="2" a="1"/>
  <c r="M884" i="2" s="1"/>
  <c r="K884" i="2" a="1"/>
  <c r="K884" i="2" s="1"/>
  <c r="L882" i="2" a="1"/>
  <c r="L882" i="2" s="1"/>
  <c r="M880" i="2" a="1"/>
  <c r="M880" i="2" s="1"/>
  <c r="K880" i="2" a="1"/>
  <c r="K880" i="2" s="1"/>
  <c r="L878" i="2" a="1"/>
  <c r="L878" i="2" s="1"/>
  <c r="M876" i="2" a="1"/>
  <c r="M876" i="2" s="1"/>
  <c r="K876" i="2" a="1"/>
  <c r="K876" i="2" s="1"/>
  <c r="L874" i="2" a="1"/>
  <c r="L874" i="2" s="1"/>
  <c r="M872" i="2" a="1"/>
  <c r="M872" i="2" s="1"/>
  <c r="K872" i="2" a="1"/>
  <c r="K872" i="2" s="1"/>
  <c r="L870" i="2" a="1"/>
  <c r="L870" i="2" s="1"/>
  <c r="M868" i="2" a="1"/>
  <c r="M868" i="2" s="1"/>
  <c r="K868" i="2" a="1"/>
  <c r="K868" i="2" s="1"/>
  <c r="L866" i="2" a="1"/>
  <c r="L866" i="2" s="1"/>
  <c r="L1107" i="2" a="1"/>
  <c r="L1107" i="2" s="1"/>
  <c r="L1105" i="2" a="1"/>
  <c r="L1105" i="2" s="1"/>
  <c r="L1103" i="2" a="1"/>
  <c r="L1103" i="2" s="1"/>
  <c r="L1101" i="2" a="1"/>
  <c r="L1101" i="2" s="1"/>
  <c r="L1088" i="2" a="1"/>
  <c r="L1088" i="2" s="1"/>
  <c r="L1084" i="2" a="1"/>
  <c r="L1084" i="2" s="1"/>
  <c r="L1080" i="2" a="1"/>
  <c r="L1080" i="2" s="1"/>
  <c r="L1076" i="2" a="1"/>
  <c r="L1076" i="2" s="1"/>
  <c r="L1071" i="2" a="1"/>
  <c r="L1071" i="2" s="1"/>
  <c r="L1070" i="2" a="1"/>
  <c r="L1070" i="2" s="1"/>
  <c r="L1069" i="2" a="1"/>
  <c r="L1069" i="2" s="1"/>
  <c r="L1068" i="2" a="1"/>
  <c r="L1068" i="2" s="1"/>
  <c r="L1067" i="2" a="1"/>
  <c r="L1067" i="2" s="1"/>
  <c r="L1066" i="2" a="1"/>
  <c r="L1066" i="2" s="1"/>
  <c r="L1065" i="2" a="1"/>
  <c r="L1065" i="2" s="1"/>
  <c r="L1064" i="2" a="1"/>
  <c r="L1064" i="2" s="1"/>
  <c r="L1063" i="2" a="1"/>
  <c r="L1063" i="2" s="1"/>
  <c r="L1062" i="2" a="1"/>
  <c r="L1062" i="2" s="1"/>
  <c r="L1061" i="2" a="1"/>
  <c r="L1061" i="2" s="1"/>
  <c r="L1060" i="2" a="1"/>
  <c r="L1060" i="2" s="1"/>
  <c r="L1059" i="2" a="1"/>
  <c r="L1059" i="2" s="1"/>
  <c r="L1058" i="2" a="1"/>
  <c r="L1058" i="2" s="1"/>
  <c r="L1057" i="2" a="1"/>
  <c r="L1057" i="2" s="1"/>
  <c r="L1056" i="2" a="1"/>
  <c r="L1056" i="2" s="1"/>
  <c r="L1087" i="2" a="1"/>
  <c r="L1087" i="2" s="1"/>
  <c r="L1083" i="2" a="1"/>
  <c r="L1083" i="2" s="1"/>
  <c r="L1079" i="2" a="1"/>
  <c r="L1079" i="2" s="1"/>
  <c r="L1075" i="2" a="1"/>
  <c r="L1075" i="2" s="1"/>
  <c r="L1073" i="2" a="1"/>
  <c r="L1073" i="2" s="1"/>
  <c r="L1072" i="2" a="1"/>
  <c r="L1072" i="2" s="1"/>
  <c r="L1108" i="2" a="1"/>
  <c r="L1108" i="2" s="1"/>
  <c r="L1106" i="2" a="1"/>
  <c r="L1106" i="2" s="1"/>
  <c r="L1104" i="2" a="1"/>
  <c r="L1104" i="2" s="1"/>
  <c r="L1102" i="2" a="1"/>
  <c r="L1102" i="2" s="1"/>
  <c r="L1100" i="2" a="1"/>
  <c r="L1100" i="2" s="1"/>
  <c r="L1090" i="2" a="1"/>
  <c r="L1090" i="2" s="1"/>
  <c r="L1086" i="2" a="1"/>
  <c r="L1086" i="2" s="1"/>
  <c r="L1082" i="2" a="1"/>
  <c r="L1082" i="2" s="1"/>
  <c r="L1078" i="2" a="1"/>
  <c r="L1078" i="2" s="1"/>
  <c r="L1074" i="2" a="1"/>
  <c r="L1074" i="2" s="1"/>
  <c r="K1073" i="2" a="1"/>
  <c r="K1073" i="2" s="1"/>
  <c r="K1072" i="2" a="1"/>
  <c r="K1072" i="2" s="1"/>
  <c r="M1071" i="2" a="1"/>
  <c r="M1071" i="2" s="1"/>
  <c r="K1071" i="2" a="1"/>
  <c r="K1071" i="2" s="1"/>
  <c r="M1070" i="2" a="1"/>
  <c r="M1070" i="2" s="1"/>
  <c r="K1070" i="2" a="1"/>
  <c r="K1070" i="2" s="1"/>
  <c r="M1069" i="2" a="1"/>
  <c r="M1069" i="2" s="1"/>
  <c r="K1069" i="2" a="1"/>
  <c r="K1069" i="2" s="1"/>
  <c r="M1068" i="2" a="1"/>
  <c r="M1068" i="2" s="1"/>
  <c r="K1068" i="2" a="1"/>
  <c r="K1068" i="2" s="1"/>
  <c r="M1067" i="2" a="1"/>
  <c r="M1067" i="2" s="1"/>
  <c r="K1067" i="2" a="1"/>
  <c r="K1067" i="2" s="1"/>
  <c r="M1066" i="2" a="1"/>
  <c r="M1066" i="2" s="1"/>
  <c r="K1066" i="2" a="1"/>
  <c r="K1066" i="2" s="1"/>
  <c r="M1065" i="2" a="1"/>
  <c r="M1065" i="2" s="1"/>
  <c r="K1065" i="2" a="1"/>
  <c r="K1065" i="2" s="1"/>
  <c r="M1064" i="2" a="1"/>
  <c r="M1064" i="2" s="1"/>
  <c r="K1064" i="2" a="1"/>
  <c r="K1064" i="2" s="1"/>
  <c r="M1063" i="2" a="1"/>
  <c r="M1063" i="2" s="1"/>
  <c r="K1063" i="2" a="1"/>
  <c r="K1063" i="2" s="1"/>
  <c r="M1062" i="2" a="1"/>
  <c r="M1062" i="2" s="1"/>
  <c r="K1062" i="2" a="1"/>
  <c r="K1062" i="2" s="1"/>
  <c r="M1061" i="2" a="1"/>
  <c r="M1061" i="2" s="1"/>
  <c r="K1061" i="2" a="1"/>
  <c r="K1061" i="2" s="1"/>
  <c r="M1060" i="2" a="1"/>
  <c r="M1060" i="2" s="1"/>
  <c r="K1059" i="2" a="1"/>
  <c r="K1059" i="2" s="1"/>
  <c r="M1058" i="2" a="1"/>
  <c r="M1058" i="2" s="1"/>
  <c r="M1055" i="2" a="1"/>
  <c r="M1055" i="2" s="1"/>
  <c r="K1053" i="2" a="1"/>
  <c r="K1053" i="2" s="1"/>
  <c r="L1052" i="2" a="1"/>
  <c r="L1052" i="2" s="1"/>
  <c r="M1051" i="2" a="1"/>
  <c r="M1051" i="2" s="1"/>
  <c r="K1049" i="2" a="1"/>
  <c r="K1049" i="2" s="1"/>
  <c r="L1048" i="2" a="1"/>
  <c r="L1048" i="2" s="1"/>
  <c r="M1047" i="2" a="1"/>
  <c r="M1047" i="2" s="1"/>
  <c r="K1045" i="2" a="1"/>
  <c r="K1045" i="2" s="1"/>
  <c r="L1044" i="2" a="1"/>
  <c r="L1044" i="2" s="1"/>
  <c r="M1043" i="2" a="1"/>
  <c r="M1043" i="2" s="1"/>
  <c r="K1041" i="2" a="1"/>
  <c r="K1041" i="2" s="1"/>
  <c r="L1040" i="2" a="1"/>
  <c r="L1040" i="2" s="1"/>
  <c r="M1039" i="2" a="1"/>
  <c r="M1039" i="2" s="1"/>
  <c r="K1037" i="2" a="1"/>
  <c r="K1037" i="2" s="1"/>
  <c r="L1036" i="2" a="1"/>
  <c r="L1036" i="2" s="1"/>
  <c r="M1035" i="2" a="1"/>
  <c r="M1035" i="2" s="1"/>
  <c r="K1033" i="2" a="1"/>
  <c r="K1033" i="2" s="1"/>
  <c r="L1032" i="2" a="1"/>
  <c r="L1032" i="2" s="1"/>
  <c r="M1031" i="2" a="1"/>
  <c r="M1031" i="2" s="1"/>
  <c r="K1029" i="2" a="1"/>
  <c r="K1029" i="2" s="1"/>
  <c r="L1028" i="2" a="1"/>
  <c r="L1028" i="2" s="1"/>
  <c r="M1027" i="2" a="1"/>
  <c r="M1027" i="2" s="1"/>
  <c r="K1025" i="2" a="1"/>
  <c r="K1025" i="2" s="1"/>
  <c r="L1024" i="2" a="1"/>
  <c r="L1024" i="2" s="1"/>
  <c r="M1023" i="2" a="1"/>
  <c r="M1023" i="2" s="1"/>
  <c r="K1021" i="2" a="1"/>
  <c r="K1021" i="2" s="1"/>
  <c r="L1020" i="2" a="1"/>
  <c r="L1020" i="2" s="1"/>
  <c r="M1019" i="2" a="1"/>
  <c r="M1019" i="2" s="1"/>
  <c r="K1017" i="2" a="1"/>
  <c r="K1017" i="2" s="1"/>
  <c r="L1016" i="2" a="1"/>
  <c r="L1016" i="2" s="1"/>
  <c r="M1015" i="2" a="1"/>
  <c r="M1015" i="2" s="1"/>
  <c r="K1013" i="2" a="1"/>
  <c r="K1013" i="2" s="1"/>
  <c r="L1012" i="2" a="1"/>
  <c r="L1012" i="2" s="1"/>
  <c r="M1011" i="2" a="1"/>
  <c r="M1011" i="2" s="1"/>
  <c r="L1010" i="2" a="1"/>
  <c r="L1010" i="2" s="1"/>
  <c r="M1009" i="2" a="1"/>
  <c r="M1009" i="2" s="1"/>
  <c r="K1008" i="2" a="1"/>
  <c r="K1008" i="2" s="1"/>
  <c r="L1006" i="2" a="1"/>
  <c r="L1006" i="2" s="1"/>
  <c r="M1005" i="2" a="1"/>
  <c r="M1005" i="2" s="1"/>
  <c r="K1004" i="2" a="1"/>
  <c r="K1004" i="2" s="1"/>
  <c r="L1002" i="2" a="1"/>
  <c r="L1002" i="2" s="1"/>
  <c r="M1001" i="2" a="1"/>
  <c r="M1001" i="2" s="1"/>
  <c r="K1000" i="2" a="1"/>
  <c r="K1000" i="2" s="1"/>
  <c r="L998" i="2" a="1"/>
  <c r="L998" i="2" s="1"/>
  <c r="M997" i="2" a="1"/>
  <c r="M997" i="2" s="1"/>
  <c r="K996" i="2" a="1"/>
  <c r="K996" i="2" s="1"/>
  <c r="L994" i="2" a="1"/>
  <c r="L994" i="2" s="1"/>
  <c r="M993" i="2" a="1"/>
  <c r="M993" i="2" s="1"/>
  <c r="K992" i="2" a="1"/>
  <c r="K992" i="2" s="1"/>
  <c r="L990" i="2" a="1"/>
  <c r="L990" i="2" s="1"/>
  <c r="M989" i="2" a="1"/>
  <c r="M989" i="2" s="1"/>
  <c r="K988" i="2" a="1"/>
  <c r="K988" i="2" s="1"/>
  <c r="L986" i="2" a="1"/>
  <c r="L986" i="2" s="1"/>
  <c r="M985" i="2" a="1"/>
  <c r="M985" i="2" s="1"/>
  <c r="K984" i="2" a="1"/>
  <c r="K984" i="2" s="1"/>
  <c r="L982" i="2" a="1"/>
  <c r="L982" i="2" s="1"/>
  <c r="M981" i="2" a="1"/>
  <c r="M981" i="2" s="1"/>
  <c r="K980" i="2" a="1"/>
  <c r="K980" i="2" s="1"/>
  <c r="L978" i="2" a="1"/>
  <c r="L978" i="2" s="1"/>
  <c r="M977" i="2" a="1"/>
  <c r="M977" i="2" s="1"/>
  <c r="K976" i="2" a="1"/>
  <c r="K976" i="2" s="1"/>
  <c r="L974" i="2" a="1"/>
  <c r="L974" i="2" s="1"/>
  <c r="M973" i="2" a="1"/>
  <c r="M973" i="2" s="1"/>
  <c r="K972" i="2" a="1"/>
  <c r="K972" i="2" s="1"/>
  <c r="L970" i="2" a="1"/>
  <c r="L970" i="2" s="1"/>
  <c r="M969" i="2" a="1"/>
  <c r="M969" i="2" s="1"/>
  <c r="K968" i="2" a="1"/>
  <c r="K968" i="2" s="1"/>
  <c r="L966" i="2" a="1"/>
  <c r="L966" i="2" s="1"/>
  <c r="M965" i="2" a="1"/>
  <c r="M965" i="2" s="1"/>
  <c r="K964" i="2" a="1"/>
  <c r="K964" i="2" s="1"/>
  <c r="L962" i="2" a="1"/>
  <c r="L962" i="2" s="1"/>
  <c r="M961" i="2" a="1"/>
  <c r="M961" i="2" s="1"/>
  <c r="K960" i="2" a="1"/>
  <c r="K960" i="2" s="1"/>
  <c r="L958" i="2" a="1"/>
  <c r="L958" i="2" s="1"/>
  <c r="M957" i="2" a="1"/>
  <c r="M957" i="2" s="1"/>
  <c r="K956" i="2" a="1"/>
  <c r="K956" i="2" s="1"/>
  <c r="L954" i="2" a="1"/>
  <c r="L954" i="2" s="1"/>
  <c r="M953" i="2" a="1"/>
  <c r="M953" i="2" s="1"/>
  <c r="K952" i="2" a="1"/>
  <c r="K952" i="2" s="1"/>
  <c r="L950" i="2" a="1"/>
  <c r="L950" i="2" s="1"/>
  <c r="M949" i="2" a="1"/>
  <c r="M949" i="2" s="1"/>
  <c r="K948" i="2" a="1"/>
  <c r="K948" i="2" s="1"/>
  <c r="L946" i="2" a="1"/>
  <c r="L946" i="2" s="1"/>
  <c r="M945" i="2" a="1"/>
  <c r="M945" i="2" s="1"/>
  <c r="K944" i="2" a="1"/>
  <c r="K944" i="2" s="1"/>
  <c r="L942" i="2" a="1"/>
  <c r="L942" i="2" s="1"/>
  <c r="M941" i="2" a="1"/>
  <c r="M941" i="2" s="1"/>
  <c r="K940" i="2" a="1"/>
  <c r="K940" i="2" s="1"/>
  <c r="L938" i="2" a="1"/>
  <c r="L938" i="2" s="1"/>
  <c r="M937" i="2" a="1"/>
  <c r="M937" i="2" s="1"/>
  <c r="K936" i="2" a="1"/>
  <c r="K936" i="2" s="1"/>
  <c r="L934" i="2" a="1"/>
  <c r="L934" i="2" s="1"/>
  <c r="M933" i="2" a="1"/>
  <c r="M933" i="2" s="1"/>
  <c r="K932" i="2" a="1"/>
  <c r="K932" i="2" s="1"/>
  <c r="K1058" i="2" a="1"/>
  <c r="K1058" i="2" s="1"/>
  <c r="M1057" i="2" a="1"/>
  <c r="M1057" i="2" s="1"/>
  <c r="L1055" i="2" a="1"/>
  <c r="L1055" i="2" s="1"/>
  <c r="M1054" i="2" a="1"/>
  <c r="M1054" i="2" s="1"/>
  <c r="K1052" i="2" a="1"/>
  <c r="K1052" i="2" s="1"/>
  <c r="L1051" i="2" a="1"/>
  <c r="L1051" i="2" s="1"/>
  <c r="M1050" i="2" a="1"/>
  <c r="M1050" i="2" s="1"/>
  <c r="K1048" i="2" a="1"/>
  <c r="K1048" i="2" s="1"/>
  <c r="L1047" i="2" a="1"/>
  <c r="L1047" i="2" s="1"/>
  <c r="M1046" i="2" a="1"/>
  <c r="M1046" i="2" s="1"/>
  <c r="K1044" i="2" a="1"/>
  <c r="K1044" i="2" s="1"/>
  <c r="L1043" i="2" a="1"/>
  <c r="L1043" i="2" s="1"/>
  <c r="M1042" i="2" a="1"/>
  <c r="M1042" i="2" s="1"/>
  <c r="K1040" i="2" a="1"/>
  <c r="K1040" i="2" s="1"/>
  <c r="L1039" i="2" a="1"/>
  <c r="L1039" i="2" s="1"/>
  <c r="M1038" i="2" a="1"/>
  <c r="M1038" i="2" s="1"/>
  <c r="K1036" i="2" a="1"/>
  <c r="K1036" i="2" s="1"/>
  <c r="L1035" i="2" a="1"/>
  <c r="L1035" i="2" s="1"/>
  <c r="M1034" i="2" a="1"/>
  <c r="M1034" i="2" s="1"/>
  <c r="K1032" i="2" a="1"/>
  <c r="K1032" i="2" s="1"/>
  <c r="L1031" i="2" a="1"/>
  <c r="L1031" i="2" s="1"/>
  <c r="M1030" i="2" a="1"/>
  <c r="M1030" i="2" s="1"/>
  <c r="K1028" i="2" a="1"/>
  <c r="K1028" i="2" s="1"/>
  <c r="L1027" i="2" a="1"/>
  <c r="L1027" i="2" s="1"/>
  <c r="M1026" i="2" a="1"/>
  <c r="M1026" i="2" s="1"/>
  <c r="K1024" i="2" a="1"/>
  <c r="K1024" i="2" s="1"/>
  <c r="L1023" i="2" a="1"/>
  <c r="L1023" i="2" s="1"/>
  <c r="M1022" i="2" a="1"/>
  <c r="M1022" i="2" s="1"/>
  <c r="K1020" i="2" a="1"/>
  <c r="K1020" i="2" s="1"/>
  <c r="L1019" i="2" a="1"/>
  <c r="L1019" i="2" s="1"/>
  <c r="M1018" i="2" a="1"/>
  <c r="M1018" i="2" s="1"/>
  <c r="K1016" i="2" a="1"/>
  <c r="K1016" i="2" s="1"/>
  <c r="L1015" i="2" a="1"/>
  <c r="L1015" i="2" s="1"/>
  <c r="M1014" i="2" a="1"/>
  <c r="M1014" i="2" s="1"/>
  <c r="K1012" i="2" a="1"/>
  <c r="K1012" i="2" s="1"/>
  <c r="L1011" i="2" a="1"/>
  <c r="L1011" i="2" s="1"/>
  <c r="L1009" i="2" a="1"/>
  <c r="L1009" i="2" s="1"/>
  <c r="M1008" i="2" a="1"/>
  <c r="M1008" i="2" s="1"/>
  <c r="K1007" i="2" a="1"/>
  <c r="K1007" i="2" s="1"/>
  <c r="L1005" i="2" a="1"/>
  <c r="L1005" i="2" s="1"/>
  <c r="M1004" i="2" a="1"/>
  <c r="M1004" i="2" s="1"/>
  <c r="K1003" i="2" a="1"/>
  <c r="K1003" i="2" s="1"/>
  <c r="L1001" i="2" a="1"/>
  <c r="L1001" i="2" s="1"/>
  <c r="M1000" i="2" a="1"/>
  <c r="M1000" i="2" s="1"/>
  <c r="K999" i="2" a="1"/>
  <c r="K999" i="2" s="1"/>
  <c r="L997" i="2" a="1"/>
  <c r="L997" i="2" s="1"/>
  <c r="M996" i="2" a="1"/>
  <c r="M996" i="2" s="1"/>
  <c r="K995" i="2" a="1"/>
  <c r="K995" i="2" s="1"/>
  <c r="L993" i="2" a="1"/>
  <c r="L993" i="2" s="1"/>
  <c r="M992" i="2" a="1"/>
  <c r="M992" i="2" s="1"/>
  <c r="K991" i="2" a="1"/>
  <c r="K991" i="2" s="1"/>
  <c r="L989" i="2" a="1"/>
  <c r="L989" i="2" s="1"/>
  <c r="M988" i="2" a="1"/>
  <c r="M988" i="2" s="1"/>
  <c r="K987" i="2" a="1"/>
  <c r="K987" i="2" s="1"/>
  <c r="L985" i="2" a="1"/>
  <c r="L985" i="2" s="1"/>
  <c r="M984" i="2" a="1"/>
  <c r="M984" i="2" s="1"/>
  <c r="K983" i="2" a="1"/>
  <c r="K983" i="2" s="1"/>
  <c r="L981" i="2" a="1"/>
  <c r="L981" i="2" s="1"/>
  <c r="M980" i="2" a="1"/>
  <c r="M980" i="2" s="1"/>
  <c r="K979" i="2" a="1"/>
  <c r="K979" i="2" s="1"/>
  <c r="L977" i="2" a="1"/>
  <c r="L977" i="2" s="1"/>
  <c r="M976" i="2" a="1"/>
  <c r="M976" i="2" s="1"/>
  <c r="K975" i="2" a="1"/>
  <c r="K975" i="2" s="1"/>
  <c r="L973" i="2" a="1"/>
  <c r="L973" i="2" s="1"/>
  <c r="M972" i="2" a="1"/>
  <c r="M972" i="2" s="1"/>
  <c r="K971" i="2" a="1"/>
  <c r="K971" i="2" s="1"/>
  <c r="L969" i="2" a="1"/>
  <c r="L969" i="2" s="1"/>
  <c r="M968" i="2" a="1"/>
  <c r="M968" i="2" s="1"/>
  <c r="K967" i="2" a="1"/>
  <c r="K967" i="2" s="1"/>
  <c r="L965" i="2" a="1"/>
  <c r="L965" i="2" s="1"/>
  <c r="M964" i="2" a="1"/>
  <c r="M964" i="2" s="1"/>
  <c r="K963" i="2" a="1"/>
  <c r="K963" i="2" s="1"/>
  <c r="L961" i="2" a="1"/>
  <c r="L961" i="2" s="1"/>
  <c r="M960" i="2" a="1"/>
  <c r="M960" i="2" s="1"/>
  <c r="K959" i="2" a="1"/>
  <c r="K959" i="2" s="1"/>
  <c r="L957" i="2" a="1"/>
  <c r="L957" i="2" s="1"/>
  <c r="M956" i="2" a="1"/>
  <c r="M956" i="2" s="1"/>
  <c r="K955" i="2" a="1"/>
  <c r="K955" i="2" s="1"/>
  <c r="L953" i="2" a="1"/>
  <c r="L953" i="2" s="1"/>
  <c r="M952" i="2" a="1"/>
  <c r="M952" i="2" s="1"/>
  <c r="K951" i="2" a="1"/>
  <c r="K951" i="2" s="1"/>
  <c r="L949" i="2" a="1"/>
  <c r="L949" i="2" s="1"/>
  <c r="M948" i="2" a="1"/>
  <c r="M948" i="2" s="1"/>
  <c r="K947" i="2" a="1"/>
  <c r="K947" i="2" s="1"/>
  <c r="L945" i="2" a="1"/>
  <c r="L945" i="2" s="1"/>
  <c r="M944" i="2" a="1"/>
  <c r="M944" i="2" s="1"/>
  <c r="K943" i="2" a="1"/>
  <c r="K943" i="2" s="1"/>
  <c r="L941" i="2" a="1"/>
  <c r="L941" i="2" s="1"/>
  <c r="M940" i="2" a="1"/>
  <c r="M940" i="2" s="1"/>
  <c r="K939" i="2" a="1"/>
  <c r="K939" i="2" s="1"/>
  <c r="L937" i="2" a="1"/>
  <c r="L937" i="2" s="1"/>
  <c r="M936" i="2" a="1"/>
  <c r="M936" i="2" s="1"/>
  <c r="K935" i="2" a="1"/>
  <c r="K935" i="2" s="1"/>
  <c r="L933" i="2" a="1"/>
  <c r="L933" i="2" s="1"/>
  <c r="M932" i="2" a="1"/>
  <c r="M932" i="2" s="1"/>
  <c r="K931" i="2" a="1"/>
  <c r="K931" i="2" s="1"/>
  <c r="L929" i="2" a="1"/>
  <c r="L929" i="2" s="1"/>
  <c r="M928" i="2" a="1"/>
  <c r="M928" i="2" s="1"/>
  <c r="K927" i="2" a="1"/>
  <c r="K927" i="2" s="1"/>
  <c r="L925" i="2" a="1"/>
  <c r="L925" i="2" s="1"/>
  <c r="M924" i="2" a="1"/>
  <c r="M924" i="2" s="1"/>
  <c r="K923" i="2" a="1"/>
  <c r="K923" i="2" s="1"/>
  <c r="L921" i="2" a="1"/>
  <c r="L921" i="2" s="1"/>
  <c r="M920" i="2" a="1"/>
  <c r="M920" i="2" s="1"/>
  <c r="K919" i="2" a="1"/>
  <c r="K919" i="2" s="1"/>
  <c r="L917" i="2" a="1"/>
  <c r="L917" i="2" s="1"/>
  <c r="K1057" i="2" a="1"/>
  <c r="K1057" i="2" s="1"/>
  <c r="M1056" i="2" a="1"/>
  <c r="M1056" i="2" s="1"/>
  <c r="K1055" i="2" a="1"/>
  <c r="K1055" i="2" s="1"/>
  <c r="L1054" i="2" a="1"/>
  <c r="L1054" i="2" s="1"/>
  <c r="M1053" i="2" a="1"/>
  <c r="M1053" i="2" s="1"/>
  <c r="K1051" i="2" a="1"/>
  <c r="K1051" i="2" s="1"/>
  <c r="L1050" i="2" a="1"/>
  <c r="L1050" i="2" s="1"/>
  <c r="M1049" i="2" a="1"/>
  <c r="M1049" i="2" s="1"/>
  <c r="K1047" i="2" a="1"/>
  <c r="K1047" i="2" s="1"/>
  <c r="L1046" i="2" a="1"/>
  <c r="L1046" i="2" s="1"/>
  <c r="M1045" i="2" a="1"/>
  <c r="M1045" i="2" s="1"/>
  <c r="K1043" i="2" a="1"/>
  <c r="K1043" i="2" s="1"/>
  <c r="L1042" i="2" a="1"/>
  <c r="L1042" i="2" s="1"/>
  <c r="M1041" i="2" a="1"/>
  <c r="M1041" i="2" s="1"/>
  <c r="K1039" i="2" a="1"/>
  <c r="K1039" i="2" s="1"/>
  <c r="L1038" i="2" a="1"/>
  <c r="L1038" i="2" s="1"/>
  <c r="M1037" i="2" a="1"/>
  <c r="M1037" i="2" s="1"/>
  <c r="K1035" i="2" a="1"/>
  <c r="K1035" i="2" s="1"/>
  <c r="L1034" i="2" a="1"/>
  <c r="L1034" i="2" s="1"/>
  <c r="M1033" i="2" a="1"/>
  <c r="M1033" i="2" s="1"/>
  <c r="K1031" i="2" a="1"/>
  <c r="K1031" i="2" s="1"/>
  <c r="L1030" i="2" a="1"/>
  <c r="L1030" i="2" s="1"/>
  <c r="M1029" i="2" a="1"/>
  <c r="M1029" i="2" s="1"/>
  <c r="K1027" i="2" a="1"/>
  <c r="K1027" i="2" s="1"/>
  <c r="L1026" i="2" a="1"/>
  <c r="L1026" i="2" s="1"/>
  <c r="M1025" i="2" a="1"/>
  <c r="M1025" i="2" s="1"/>
  <c r="K1023" i="2" a="1"/>
  <c r="K1023" i="2" s="1"/>
  <c r="L1022" i="2" a="1"/>
  <c r="L1022" i="2" s="1"/>
  <c r="M1021" i="2" a="1"/>
  <c r="M1021" i="2" s="1"/>
  <c r="K1019" i="2" a="1"/>
  <c r="K1019" i="2" s="1"/>
  <c r="L1018" i="2" a="1"/>
  <c r="L1018" i="2" s="1"/>
  <c r="M1017" i="2" a="1"/>
  <c r="M1017" i="2" s="1"/>
  <c r="K1015" i="2" a="1"/>
  <c r="K1015" i="2" s="1"/>
  <c r="L1014" i="2" a="1"/>
  <c r="L1014" i="2" s="1"/>
  <c r="M1013" i="2" a="1"/>
  <c r="M1013" i="2" s="1"/>
  <c r="K1011" i="2" a="1"/>
  <c r="K1011" i="2" s="1"/>
  <c r="K1010" i="2" a="1"/>
  <c r="K1010" i="2" s="1"/>
  <c r="L1008" i="2" a="1"/>
  <c r="L1008" i="2" s="1"/>
  <c r="M1007" i="2" a="1"/>
  <c r="M1007" i="2" s="1"/>
  <c r="K1006" i="2" a="1"/>
  <c r="K1006" i="2" s="1"/>
  <c r="L1004" i="2" a="1"/>
  <c r="L1004" i="2" s="1"/>
  <c r="M1003" i="2" a="1"/>
  <c r="M1003" i="2" s="1"/>
  <c r="K1002" i="2" a="1"/>
  <c r="K1002" i="2" s="1"/>
  <c r="L1000" i="2" a="1"/>
  <c r="L1000" i="2" s="1"/>
  <c r="M999" i="2" a="1"/>
  <c r="M999" i="2" s="1"/>
  <c r="K998" i="2" a="1"/>
  <c r="K998" i="2" s="1"/>
  <c r="L996" i="2" a="1"/>
  <c r="L996" i="2" s="1"/>
  <c r="M995" i="2" a="1"/>
  <c r="M995" i="2" s="1"/>
  <c r="K994" i="2" a="1"/>
  <c r="K994" i="2" s="1"/>
  <c r="L992" i="2" a="1"/>
  <c r="L992" i="2" s="1"/>
  <c r="M991" i="2" a="1"/>
  <c r="M991" i="2" s="1"/>
  <c r="K990" i="2" a="1"/>
  <c r="K990" i="2" s="1"/>
  <c r="L988" i="2" a="1"/>
  <c r="L988" i="2" s="1"/>
  <c r="M987" i="2" a="1"/>
  <c r="M987" i="2" s="1"/>
  <c r="K986" i="2" a="1"/>
  <c r="K986" i="2" s="1"/>
  <c r="L984" i="2" a="1"/>
  <c r="L984" i="2" s="1"/>
  <c r="M983" i="2" a="1"/>
  <c r="M983" i="2" s="1"/>
  <c r="K982" i="2" a="1"/>
  <c r="K982" i="2" s="1"/>
  <c r="L980" i="2" a="1"/>
  <c r="L980" i="2" s="1"/>
  <c r="M979" i="2" a="1"/>
  <c r="M979" i="2" s="1"/>
  <c r="K978" i="2" a="1"/>
  <c r="K978" i="2" s="1"/>
  <c r="L976" i="2" a="1"/>
  <c r="L976" i="2" s="1"/>
  <c r="M975" i="2" a="1"/>
  <c r="M975" i="2" s="1"/>
  <c r="K974" i="2" a="1"/>
  <c r="K974" i="2" s="1"/>
  <c r="L972" i="2" a="1"/>
  <c r="L972" i="2" s="1"/>
  <c r="M971" i="2" a="1"/>
  <c r="M971" i="2" s="1"/>
  <c r="K970" i="2" a="1"/>
  <c r="K970" i="2" s="1"/>
  <c r="L968" i="2" a="1"/>
  <c r="L968" i="2" s="1"/>
  <c r="M967" i="2" a="1"/>
  <c r="M967" i="2" s="1"/>
  <c r="K966" i="2" a="1"/>
  <c r="K966" i="2" s="1"/>
  <c r="L964" i="2" a="1"/>
  <c r="L964" i="2" s="1"/>
  <c r="M963" i="2" a="1"/>
  <c r="M963" i="2" s="1"/>
  <c r="K962" i="2" a="1"/>
  <c r="K962" i="2" s="1"/>
  <c r="L960" i="2" a="1"/>
  <c r="L960" i="2" s="1"/>
  <c r="M959" i="2" a="1"/>
  <c r="M959" i="2" s="1"/>
  <c r="K958" i="2" a="1"/>
  <c r="K958" i="2" s="1"/>
  <c r="L956" i="2" a="1"/>
  <c r="L956" i="2" s="1"/>
  <c r="M955" i="2" a="1"/>
  <c r="M955" i="2" s="1"/>
  <c r="K954" i="2" a="1"/>
  <c r="K954" i="2" s="1"/>
  <c r="L952" i="2" a="1"/>
  <c r="L952" i="2" s="1"/>
  <c r="M951" i="2" a="1"/>
  <c r="M951" i="2" s="1"/>
  <c r="K950" i="2" a="1"/>
  <c r="K950" i="2" s="1"/>
  <c r="L948" i="2" a="1"/>
  <c r="L948" i="2" s="1"/>
  <c r="M947" i="2" a="1"/>
  <c r="M947" i="2" s="1"/>
  <c r="K946" i="2" a="1"/>
  <c r="K946" i="2" s="1"/>
  <c r="L944" i="2" a="1"/>
  <c r="L944" i="2" s="1"/>
  <c r="M943" i="2" a="1"/>
  <c r="M943" i="2" s="1"/>
  <c r="K942" i="2" a="1"/>
  <c r="K942" i="2" s="1"/>
  <c r="L940" i="2" a="1"/>
  <c r="L940" i="2" s="1"/>
  <c r="M939" i="2" a="1"/>
  <c r="M939" i="2" s="1"/>
  <c r="K938" i="2" a="1"/>
  <c r="K938" i="2" s="1"/>
  <c r="L936" i="2" a="1"/>
  <c r="L936" i="2" s="1"/>
  <c r="M935" i="2" a="1"/>
  <c r="M935" i="2" s="1"/>
  <c r="K934" i="2" a="1"/>
  <c r="K934" i="2" s="1"/>
  <c r="L932" i="2" a="1"/>
  <c r="L932" i="2" s="1"/>
  <c r="M931" i="2" a="1"/>
  <c r="M931" i="2" s="1"/>
  <c r="K930" i="2" a="1"/>
  <c r="K930" i="2" s="1"/>
  <c r="L928" i="2" a="1"/>
  <c r="L928" i="2" s="1"/>
  <c r="M927" i="2" a="1"/>
  <c r="M927" i="2" s="1"/>
  <c r="K926" i="2" a="1"/>
  <c r="K926" i="2" s="1"/>
  <c r="L924" i="2" a="1"/>
  <c r="L924" i="2" s="1"/>
  <c r="M923" i="2" a="1"/>
  <c r="M923" i="2" s="1"/>
  <c r="K922" i="2" a="1"/>
  <c r="K922" i="2" s="1"/>
  <c r="L920" i="2" a="1"/>
  <c r="L920" i="2" s="1"/>
  <c r="M919" i="2" a="1"/>
  <c r="M919" i="2" s="1"/>
  <c r="K1060" i="2" a="1"/>
  <c r="K1060" i="2" s="1"/>
  <c r="M1059" i="2" a="1"/>
  <c r="M1059" i="2" s="1"/>
  <c r="K1056" i="2" a="1"/>
  <c r="K1056" i="2" s="1"/>
  <c r="K1054" i="2" a="1"/>
  <c r="K1054" i="2" s="1"/>
  <c r="L1053" i="2" a="1"/>
  <c r="L1053" i="2" s="1"/>
  <c r="M1052" i="2" a="1"/>
  <c r="M1052" i="2" s="1"/>
  <c r="K1050" i="2" a="1"/>
  <c r="K1050" i="2" s="1"/>
  <c r="L1049" i="2" a="1"/>
  <c r="L1049" i="2" s="1"/>
  <c r="M1048" i="2" a="1"/>
  <c r="M1048" i="2" s="1"/>
  <c r="K1046" i="2" a="1"/>
  <c r="K1046" i="2" s="1"/>
  <c r="L1045" i="2" a="1"/>
  <c r="L1045" i="2" s="1"/>
  <c r="M1044" i="2" a="1"/>
  <c r="M1044" i="2" s="1"/>
  <c r="K1042" i="2" a="1"/>
  <c r="K1042" i="2" s="1"/>
  <c r="L1041" i="2" a="1"/>
  <c r="L1041" i="2" s="1"/>
  <c r="M1040" i="2" a="1"/>
  <c r="M1040" i="2" s="1"/>
  <c r="K1038" i="2" a="1"/>
  <c r="K1038" i="2" s="1"/>
  <c r="L1037" i="2" a="1"/>
  <c r="L1037" i="2" s="1"/>
  <c r="M1036" i="2" a="1"/>
  <c r="M1036" i="2" s="1"/>
  <c r="K1034" i="2" a="1"/>
  <c r="K1034" i="2" s="1"/>
  <c r="L1033" i="2" a="1"/>
  <c r="L1033" i="2" s="1"/>
  <c r="M1032" i="2" a="1"/>
  <c r="M1032" i="2" s="1"/>
  <c r="K1030" i="2" a="1"/>
  <c r="K1030" i="2" s="1"/>
  <c r="L1029" i="2" a="1"/>
  <c r="L1029" i="2" s="1"/>
  <c r="M1028" i="2" a="1"/>
  <c r="M1028" i="2" s="1"/>
  <c r="K1026" i="2" a="1"/>
  <c r="K1026" i="2" s="1"/>
  <c r="L1025" i="2" a="1"/>
  <c r="L1025" i="2" s="1"/>
  <c r="M1024" i="2" a="1"/>
  <c r="M1024" i="2" s="1"/>
  <c r="K1022" i="2" a="1"/>
  <c r="K1022" i="2" s="1"/>
  <c r="L1021" i="2" a="1"/>
  <c r="L1021" i="2" s="1"/>
  <c r="M1020" i="2" a="1"/>
  <c r="M1020" i="2" s="1"/>
  <c r="K1018" i="2" a="1"/>
  <c r="K1018" i="2" s="1"/>
  <c r="L1017" i="2" a="1"/>
  <c r="L1017" i="2" s="1"/>
  <c r="M1016" i="2" a="1"/>
  <c r="M1016" i="2" s="1"/>
  <c r="K1014" i="2" a="1"/>
  <c r="K1014" i="2" s="1"/>
  <c r="L1013" i="2" a="1"/>
  <c r="L1013" i="2" s="1"/>
  <c r="M1012" i="2" a="1"/>
  <c r="M1012" i="2" s="1"/>
  <c r="M1010" i="2" a="1"/>
  <c r="M1010" i="2" s="1"/>
  <c r="K1009" i="2" a="1"/>
  <c r="K1009" i="2" s="1"/>
  <c r="L1007" i="2" a="1"/>
  <c r="L1007" i="2" s="1"/>
  <c r="M1006" i="2" a="1"/>
  <c r="M1006" i="2" s="1"/>
  <c r="K1005" i="2" a="1"/>
  <c r="K1005" i="2" s="1"/>
  <c r="L1003" i="2" a="1"/>
  <c r="L1003" i="2" s="1"/>
  <c r="M1002" i="2" a="1"/>
  <c r="M1002" i="2" s="1"/>
  <c r="K1001" i="2" a="1"/>
  <c r="K1001" i="2" s="1"/>
  <c r="L999" i="2" a="1"/>
  <c r="L999" i="2" s="1"/>
  <c r="M998" i="2" a="1"/>
  <c r="M998" i="2" s="1"/>
  <c r="K997" i="2" a="1"/>
  <c r="K997" i="2" s="1"/>
  <c r="L995" i="2" a="1"/>
  <c r="L995" i="2" s="1"/>
  <c r="M994" i="2" a="1"/>
  <c r="M994" i="2" s="1"/>
  <c r="K993" i="2" a="1"/>
  <c r="K993" i="2" s="1"/>
  <c r="L991" i="2" a="1"/>
  <c r="L991" i="2" s="1"/>
  <c r="M990" i="2" a="1"/>
  <c r="M990" i="2" s="1"/>
  <c r="K989" i="2" a="1"/>
  <c r="K989" i="2" s="1"/>
  <c r="L987" i="2" a="1"/>
  <c r="L987" i="2" s="1"/>
  <c r="M986" i="2" a="1"/>
  <c r="M986" i="2" s="1"/>
  <c r="K985" i="2" a="1"/>
  <c r="K985" i="2" s="1"/>
  <c r="L983" i="2" a="1"/>
  <c r="L983" i="2" s="1"/>
  <c r="M982" i="2" a="1"/>
  <c r="M982" i="2" s="1"/>
  <c r="K981" i="2" a="1"/>
  <c r="K981" i="2" s="1"/>
  <c r="L979" i="2" a="1"/>
  <c r="L979" i="2" s="1"/>
  <c r="M978" i="2" a="1"/>
  <c r="M978" i="2" s="1"/>
  <c r="K977" i="2" a="1"/>
  <c r="K977" i="2" s="1"/>
  <c r="L975" i="2" a="1"/>
  <c r="L975" i="2" s="1"/>
  <c r="M974" i="2" a="1"/>
  <c r="M974" i="2" s="1"/>
  <c r="K973" i="2" a="1"/>
  <c r="K973" i="2" s="1"/>
  <c r="L971" i="2" a="1"/>
  <c r="L971" i="2" s="1"/>
  <c r="M970" i="2" a="1"/>
  <c r="M970" i="2" s="1"/>
  <c r="K969" i="2" a="1"/>
  <c r="K969" i="2" s="1"/>
  <c r="L967" i="2" a="1"/>
  <c r="L967" i="2" s="1"/>
  <c r="M966" i="2" a="1"/>
  <c r="M966" i="2" s="1"/>
  <c r="K965" i="2" a="1"/>
  <c r="K965" i="2" s="1"/>
  <c r="L963" i="2" a="1"/>
  <c r="L963" i="2" s="1"/>
  <c r="M962" i="2" a="1"/>
  <c r="M962" i="2" s="1"/>
  <c r="K961" i="2" a="1"/>
  <c r="K961" i="2" s="1"/>
  <c r="L959" i="2" a="1"/>
  <c r="L959" i="2" s="1"/>
  <c r="M958" i="2" a="1"/>
  <c r="M958" i="2" s="1"/>
  <c r="K957" i="2" a="1"/>
  <c r="K957" i="2" s="1"/>
  <c r="L955" i="2" a="1"/>
  <c r="L955" i="2" s="1"/>
  <c r="M954" i="2" a="1"/>
  <c r="M954" i="2" s="1"/>
  <c r="K953" i="2" a="1"/>
  <c r="K953" i="2" s="1"/>
  <c r="L951" i="2" a="1"/>
  <c r="L951" i="2" s="1"/>
  <c r="M950" i="2" a="1"/>
  <c r="M950" i="2" s="1"/>
  <c r="K949" i="2" a="1"/>
  <c r="K949" i="2" s="1"/>
  <c r="L947" i="2" a="1"/>
  <c r="L947" i="2" s="1"/>
  <c r="M946" i="2" a="1"/>
  <c r="M946" i="2" s="1"/>
  <c r="K945" i="2" a="1"/>
  <c r="K945" i="2" s="1"/>
  <c r="L943" i="2" a="1"/>
  <c r="L943" i="2" s="1"/>
  <c r="M942" i="2" a="1"/>
  <c r="M942" i="2" s="1"/>
  <c r="K941" i="2" a="1"/>
  <c r="K941" i="2" s="1"/>
  <c r="L939" i="2" a="1"/>
  <c r="L939" i="2" s="1"/>
  <c r="M938" i="2" a="1"/>
  <c r="M938" i="2" s="1"/>
  <c r="K937" i="2" a="1"/>
  <c r="K937" i="2" s="1"/>
  <c r="L935" i="2" a="1"/>
  <c r="L935" i="2" s="1"/>
  <c r="M934" i="2" a="1"/>
  <c r="M934" i="2" s="1"/>
  <c r="K933" i="2" a="1"/>
  <c r="K933" i="2" s="1"/>
  <c r="L777" i="2" a="1"/>
  <c r="L777" i="2" s="1"/>
  <c r="K779" i="2" a="1"/>
  <c r="K779" i="2" s="1"/>
  <c r="M779" i="2" a="1"/>
  <c r="M779" i="2" s="1"/>
  <c r="L781" i="2" a="1"/>
  <c r="L781" i="2" s="1"/>
  <c r="K783" i="2" a="1"/>
  <c r="K783" i="2" s="1"/>
  <c r="M783" i="2" a="1"/>
  <c r="M783" i="2" s="1"/>
  <c r="L785" i="2" a="1"/>
  <c r="L785" i="2" s="1"/>
  <c r="K787" i="2" a="1"/>
  <c r="K787" i="2" s="1"/>
  <c r="M787" i="2" a="1"/>
  <c r="M787" i="2" s="1"/>
  <c r="L789" i="2" a="1"/>
  <c r="L789" i="2" s="1"/>
  <c r="K791" i="2" a="1"/>
  <c r="K791" i="2" s="1"/>
  <c r="M791" i="2" a="1"/>
  <c r="M791" i="2" s="1"/>
  <c r="L793" i="2" a="1"/>
  <c r="L793" i="2" s="1"/>
  <c r="K795" i="2" a="1"/>
  <c r="K795" i="2" s="1"/>
  <c r="M795" i="2" a="1"/>
  <c r="M795" i="2" s="1"/>
  <c r="L797" i="2" a="1"/>
  <c r="L797" i="2" s="1"/>
  <c r="K799" i="2" a="1"/>
  <c r="K799" i="2" s="1"/>
  <c r="M799" i="2" a="1"/>
  <c r="M799" i="2" s="1"/>
  <c r="L801" i="2" a="1"/>
  <c r="L801" i="2" s="1"/>
  <c r="K803" i="2" a="1"/>
  <c r="K803" i="2" s="1"/>
  <c r="M803" i="2" a="1"/>
  <c r="M803" i="2" s="1"/>
  <c r="L805" i="2" a="1"/>
  <c r="L805" i="2" s="1"/>
  <c r="K807" i="2" a="1"/>
  <c r="K807" i="2" s="1"/>
  <c r="M807" i="2" a="1"/>
  <c r="M807" i="2" s="1"/>
  <c r="L809" i="2" a="1"/>
  <c r="L809" i="2" s="1"/>
  <c r="K811" i="2" a="1"/>
  <c r="K811" i="2" s="1"/>
  <c r="M811" i="2" a="1"/>
  <c r="M811" i="2" s="1"/>
  <c r="L813" i="2" a="1"/>
  <c r="L813" i="2" s="1"/>
  <c r="K815" i="2" a="1"/>
  <c r="K815" i="2" s="1"/>
  <c r="M815" i="2" a="1"/>
  <c r="M815" i="2" s="1"/>
  <c r="L817" i="2" a="1"/>
  <c r="L817" i="2" s="1"/>
  <c r="K819" i="2" a="1"/>
  <c r="K819" i="2" s="1"/>
  <c r="M819" i="2" a="1"/>
  <c r="M819" i="2" s="1"/>
  <c r="L821" i="2" a="1"/>
  <c r="L821" i="2" s="1"/>
  <c r="K823" i="2" a="1"/>
  <c r="K823" i="2" s="1"/>
  <c r="M823" i="2" a="1"/>
  <c r="M823" i="2" s="1"/>
  <c r="L825" i="2" a="1"/>
  <c r="L825" i="2" s="1"/>
  <c r="K827" i="2" a="1"/>
  <c r="K827" i="2" s="1"/>
  <c r="M827" i="2" a="1"/>
  <c r="M827" i="2" s="1"/>
  <c r="L829" i="2" a="1"/>
  <c r="L829" i="2" s="1"/>
  <c r="K831" i="2" a="1"/>
  <c r="K831" i="2" s="1"/>
  <c r="M831" i="2" a="1"/>
  <c r="M831" i="2" s="1"/>
  <c r="J832" i="2"/>
  <c r="L833" i="2" a="1"/>
  <c r="L833" i="2" s="1"/>
  <c r="K835" i="2" a="1"/>
  <c r="K835" i="2" s="1"/>
  <c r="M835" i="2" a="1"/>
  <c r="M835" i="2" s="1"/>
  <c r="L837" i="2" a="1"/>
  <c r="L837" i="2" s="1"/>
  <c r="K839" i="2" a="1"/>
  <c r="K839" i="2" s="1"/>
  <c r="M839" i="2" a="1"/>
  <c r="M839" i="2" s="1"/>
  <c r="L841" i="2" a="1"/>
  <c r="L841" i="2" s="1"/>
  <c r="K843" i="2" a="1"/>
  <c r="K843" i="2" s="1"/>
  <c r="M843" i="2" a="1"/>
  <c r="M843" i="2" s="1"/>
  <c r="L845" i="2" a="1"/>
  <c r="L845" i="2" s="1"/>
  <c r="K847" i="2" a="1"/>
  <c r="K847" i="2" s="1"/>
  <c r="M847" i="2" a="1"/>
  <c r="M847" i="2" s="1"/>
  <c r="L849" i="2" a="1"/>
  <c r="L849" i="2" s="1"/>
  <c r="K851" i="2" a="1"/>
  <c r="K851" i="2" s="1"/>
  <c r="M851" i="2" a="1"/>
  <c r="M851" i="2" s="1"/>
  <c r="L853" i="2" a="1"/>
  <c r="L853" i="2" s="1"/>
  <c r="K855" i="2" a="1"/>
  <c r="K855" i="2" s="1"/>
  <c r="M855" i="2" a="1"/>
  <c r="M855" i="2" s="1"/>
  <c r="L857" i="2" a="1"/>
  <c r="L857" i="2" s="1"/>
  <c r="K859" i="2" a="1"/>
  <c r="K859" i="2" s="1"/>
  <c r="M859" i="2" a="1"/>
  <c r="M859" i="2" s="1"/>
  <c r="L861" i="2" a="1"/>
  <c r="L861" i="2" s="1"/>
  <c r="K863" i="2" a="1"/>
  <c r="K863" i="2" s="1"/>
  <c r="M863" i="2" a="1"/>
  <c r="M863" i="2" s="1"/>
  <c r="L865" i="2" a="1"/>
  <c r="L865" i="2" s="1"/>
  <c r="M866" i="2" a="1"/>
  <c r="M866" i="2" s="1"/>
  <c r="L868" i="2" a="1"/>
  <c r="L868" i="2" s="1"/>
  <c r="K869" i="2" a="1"/>
  <c r="K869" i="2" s="1"/>
  <c r="L871" i="2" a="1"/>
  <c r="L871" i="2" s="1"/>
  <c r="M873" i="2" a="1"/>
  <c r="M873" i="2" s="1"/>
  <c r="K875" i="2" a="1"/>
  <c r="K875" i="2" s="1"/>
  <c r="L877" i="2" a="1"/>
  <c r="L877" i="2" s="1"/>
  <c r="K878" i="2" a="1"/>
  <c r="K878" i="2" s="1"/>
  <c r="M879" i="2" a="1"/>
  <c r="M879" i="2" s="1"/>
  <c r="M882" i="2" a="1"/>
  <c r="M882" i="2" s="1"/>
  <c r="L884" i="2" a="1"/>
  <c r="L884" i="2" s="1"/>
  <c r="K885" i="2" a="1"/>
  <c r="K885" i="2" s="1"/>
  <c r="L887" i="2" a="1"/>
  <c r="L887" i="2" s="1"/>
  <c r="L891" i="2" a="1"/>
  <c r="L891" i="2" s="1"/>
  <c r="K892" i="2" a="1"/>
  <c r="K892" i="2" s="1"/>
  <c r="M893" i="2" a="1"/>
  <c r="M893" i="2" s="1"/>
  <c r="L894" i="2" a="1"/>
  <c r="L894" i="2" s="1"/>
  <c r="K896" i="2" a="1"/>
  <c r="K896" i="2" s="1"/>
  <c r="M897" i="2" a="1"/>
  <c r="M897" i="2" s="1"/>
  <c r="L898" i="2" a="1"/>
  <c r="L898" i="2" s="1"/>
  <c r="K900" i="2" a="1"/>
  <c r="K900" i="2" s="1"/>
  <c r="M901" i="2" a="1"/>
  <c r="M901" i="2" s="1"/>
  <c r="L902" i="2" a="1"/>
  <c r="L902" i="2" s="1"/>
  <c r="K904" i="2" a="1"/>
  <c r="K904" i="2" s="1"/>
  <c r="M905" i="2" a="1"/>
  <c r="M905" i="2" s="1"/>
  <c r="L906" i="2" a="1"/>
  <c r="L906" i="2" s="1"/>
  <c r="K908" i="2" a="1"/>
  <c r="K908" i="2" s="1"/>
  <c r="M909" i="2" a="1"/>
  <c r="M909" i="2" s="1"/>
  <c r="L910" i="2" a="1"/>
  <c r="L910" i="2" s="1"/>
  <c r="K912" i="2" a="1"/>
  <c r="K912" i="2" s="1"/>
  <c r="M913" i="2" a="1"/>
  <c r="M913" i="2" s="1"/>
  <c r="L914" i="2" a="1"/>
  <c r="L914" i="2" s="1"/>
  <c r="K916" i="2" a="1"/>
  <c r="K916" i="2" s="1"/>
  <c r="L919" i="2" a="1"/>
  <c r="L919" i="2" s="1"/>
  <c r="K924" i="2" a="1"/>
  <c r="K924" i="2" s="1"/>
  <c r="M925" i="2" a="1"/>
  <c r="M925" i="2" s="1"/>
  <c r="M926" i="2" a="1"/>
  <c r="M926" i="2" s="1"/>
  <c r="L927" i="2" a="1"/>
  <c r="L927" i="2" s="1"/>
</calcChain>
</file>

<file path=xl/comments1.xml><?xml version="1.0" encoding="utf-8"?>
<comments xmlns="http://schemas.openxmlformats.org/spreadsheetml/2006/main">
  <authors>
    <author>Tihanyi, Marián</author>
  </authors>
  <commentList>
    <comment ref="F755" authorId="0" shapeId="0">
      <text>
        <r>
          <rPr>
            <b/>
            <sz val="9"/>
            <color indexed="81"/>
            <rFont val="Segoe UI"/>
            <family val="2"/>
            <charset val="238"/>
          </rPr>
          <t>Tihanyi, Marián:</t>
        </r>
        <r>
          <rPr>
            <sz val="9"/>
            <color indexed="81"/>
            <rFont val="Segoe UI"/>
            <family val="2"/>
            <charset val="238"/>
          </rPr>
          <t xml:space="preserve">
Polozka c. 59 - za nou uz ide displej, nie notebook</t>
        </r>
      </text>
    </comment>
  </commentList>
</comments>
</file>

<file path=xl/sharedStrings.xml><?xml version="1.0" encoding="utf-8"?>
<sst xmlns="http://schemas.openxmlformats.org/spreadsheetml/2006/main" count="7538" uniqueCount="1610">
  <si>
    <t>p25</t>
  </si>
  <si>
    <t>medián</t>
  </si>
  <si>
    <t>p75</t>
  </si>
  <si>
    <t>Celková suma [€ bez DPH]</t>
  </si>
  <si>
    <t>Počet kusov</t>
  </si>
  <si>
    <t>Počet pozorovaní</t>
  </si>
  <si>
    <t>Myš</t>
  </si>
  <si>
    <t>Čítačka pamäťových kariet</t>
  </si>
  <si>
    <t>USB kľúč</t>
  </si>
  <si>
    <t>Klávesnica</t>
  </si>
  <si>
    <t>USB hub</t>
  </si>
  <si>
    <t>Sieťová karta</t>
  </si>
  <si>
    <t>Pamäťová karta</t>
  </si>
  <si>
    <t>Powerbanka</t>
  </si>
  <si>
    <t>Slúchadlá s mikrofónom</t>
  </si>
  <si>
    <t>Rozširujúca karta USB</t>
  </si>
  <si>
    <t>Optická mechanika</t>
  </si>
  <si>
    <t>Príslušenstvo</t>
  </si>
  <si>
    <t>Univerzálny zdroj pre NB</t>
  </si>
  <si>
    <t>WIFI opakovač</t>
  </si>
  <si>
    <t>RAM</t>
  </si>
  <si>
    <t>PC skrinka</t>
  </si>
  <si>
    <t>Chladič</t>
  </si>
  <si>
    <t>PC reproduktory</t>
  </si>
  <si>
    <t>Zvuková karta</t>
  </si>
  <si>
    <t>Klávesnica a myš</t>
  </si>
  <si>
    <t>Webová kamera</t>
  </si>
  <si>
    <t>PC zdroj</t>
  </si>
  <si>
    <t>Patch panel</t>
  </si>
  <si>
    <t>Modem</t>
  </si>
  <si>
    <t>Grafická karta</t>
  </si>
  <si>
    <t>Pevný disk</t>
  </si>
  <si>
    <t>Záložný zdroj</t>
  </si>
  <si>
    <t>Akumulátor pre záložný zdroj</t>
  </si>
  <si>
    <t>Základná doska</t>
  </si>
  <si>
    <t>Čítačka čiarových kódov</t>
  </si>
  <si>
    <t>WIFI prístupový bod</t>
  </si>
  <si>
    <t>LAN kábel</t>
  </si>
  <si>
    <t>Skartovačka</t>
  </si>
  <si>
    <t>Rack</t>
  </si>
  <si>
    <t>Jednodoskový počítač</t>
  </si>
  <si>
    <t>Skener</t>
  </si>
  <si>
    <t>Procesor</t>
  </si>
  <si>
    <t>Polohovací tablet</t>
  </si>
  <si>
    <t>Monitor</t>
  </si>
  <si>
    <t>Jednotka distribúcie napájania</t>
  </si>
  <si>
    <t>Tlačiareň</t>
  </si>
  <si>
    <t>Server RAM</t>
  </si>
  <si>
    <t>Dátový rozvádzač</t>
  </si>
  <si>
    <t>LAN smerovač</t>
  </si>
  <si>
    <t>Tablet</t>
  </si>
  <si>
    <t>LAN smerovač / prepínač</t>
  </si>
  <si>
    <t>Podpisový tablet</t>
  </si>
  <si>
    <t>IP telefón</t>
  </si>
  <si>
    <t>Multifunkčné zariadenie</t>
  </si>
  <si>
    <t>Radič diskov</t>
  </si>
  <si>
    <t>Mobilný telefón</t>
  </si>
  <si>
    <t>IP kamera</t>
  </si>
  <si>
    <t>LED TV</t>
  </si>
  <si>
    <t>VR okuliare</t>
  </si>
  <si>
    <t>Počítač</t>
  </si>
  <si>
    <t>Projektor</t>
  </si>
  <si>
    <t>Notebook</t>
  </si>
  <si>
    <t>3D tlačiareň</t>
  </si>
  <si>
    <t>FibreChannel karta</t>
  </si>
  <si>
    <t>Ploter</t>
  </si>
  <si>
    <t>Rozvádzač</t>
  </si>
  <si>
    <t>LAN Prepínač</t>
  </si>
  <si>
    <t>Diskové pole</t>
  </si>
  <si>
    <t>Čítačka dokladov</t>
  </si>
  <si>
    <t>Interaktívna tabuľa</t>
  </si>
  <si>
    <t>Multi dotyková zobrazovacia jednotka</t>
  </si>
  <si>
    <t>Videokonferenčné zariadenie</t>
  </si>
  <si>
    <t>Rack s UPS</t>
  </si>
  <si>
    <t>Veľkoplošný displej</t>
  </si>
  <si>
    <t>Server</t>
  </si>
  <si>
    <t>Zálohovacia jednotka</t>
  </si>
  <si>
    <t>SAN prepínač</t>
  </si>
  <si>
    <t>WIFI ovládač mobility</t>
  </si>
  <si>
    <t>Smerovač / Firewall</t>
  </si>
  <si>
    <t>Modulárny LAN prepínač + smerovač</t>
  </si>
  <si>
    <t>SW DataCenter Node</t>
  </si>
  <si>
    <t>Integrované technol. zariadenie</t>
  </si>
  <si>
    <t>Celkovo</t>
  </si>
  <si>
    <t>P.č.</t>
  </si>
  <si>
    <t>Nazov</t>
  </si>
  <si>
    <t>ID</t>
  </si>
  <si>
    <t>CRZ_link</t>
  </si>
  <si>
    <t>Prilohy_odkazy</t>
  </si>
  <si>
    <t>Skupina_HW</t>
  </si>
  <si>
    <t>Popis_polozky</t>
  </si>
  <si>
    <t>Jednotková cena - EUR bez DPH</t>
  </si>
  <si>
    <t>Množstvo</t>
  </si>
  <si>
    <t>Cena spolu - € bez DPH</t>
  </si>
  <si>
    <t>Dolný kvartil podľa skupiny</t>
  </si>
  <si>
    <t>Medián podľa skupiny</t>
  </si>
  <si>
    <t>Horný kvartil podľa skupiny</t>
  </si>
  <si>
    <t>Rámcová dohoda</t>
  </si>
  <si>
    <t>https://www.crz.gov.sk/data/att/2706095.pdf</t>
  </si>
  <si>
    <t>Typ: Dell OptiPlex 5070SFF,Proc: PGold-G5420 passmark 3595,RAM: 8GB,Disk: HDD 500GB,VGA: zdiel,OS: Win10Pro,klávesnica,myš,DVD,TPM,Zaruka: 3</t>
  </si>
  <si>
    <t>Typ: HP ProDesk 600 G5 SFF,Proc: i7-8700 passmark 13013,RAM: 16GB,Disk: HDD 1TB,VGA: zdiel,OS: Win10Pro,klávesnica,myš,DVD,TPM,Zaruka: 3</t>
  </si>
  <si>
    <t>Typ: HP EliteBook 848 G8,Proc:AMD Ryzen 5 PRO 5650U passmark 15232,RAM: 8GB,Disk: SSD NVMe 512GB,VGA: zdiel, Disp: FHD,OS: Win10Pro,podsv. klávesnica,myš,TPM,dokovacia stanica,Zaruka: 3</t>
  </si>
  <si>
    <t>Typ: HP ProBook 650 G8,Proc: i5-1135G7 passmark 10077, RAM: 4GB,Disk:SSD NVMe 512GB,VGA: zdiel, Disp: FHD,OS: Win10Pro,podsv. klávesnica,myš,DVD,TPM,dokovacia stanica,Zaruka: 3</t>
  </si>
  <si>
    <t>Typ: HP EliteBook x360 830 G6,Proc: i5-8365U passmark 6237,RAM: 16GB,Disk: SSD NVMe 512GB,VGA: zdiel, Disp: FHD,OS: Win10Pro,podsv. klávesnica, myš,TPM,dokovacia stanica,Zaruka: 3</t>
  </si>
  <si>
    <t>Typ: Dell P2422H,Rozlisenie: 1920x1080,Frekv: 60 Hz,Velkost: 23,8",Kontrast: 1000:1,Vstupy: VGA,DP,HDMI,matný, nastaviteľný,Zaruka: 3</t>
  </si>
  <si>
    <t>Typ: HP EliteDisplay E273q,Rozlisenie:2560x1440,Frekv:60 Hz,Velkost: 27",Kontrast:1000:1,Vstupy:VGA,DP,HDMI,matný, nastaviteľný,Zaruka:3</t>
  </si>
  <si>
    <t>Typ: HP LaserJet Pro M402dne,Technologia: laser,Farba: nie, Formaty: A4,Rozhrania: USB,Ethernet,RAM: 256MB, Zasobnik: 250, Rozlisenie: 1200dpi,Zaruka: 3</t>
  </si>
  <si>
    <t>Typ: HP Color LaserJet Enterprise M552dn,Technologia: laser,Farba: áno, Formaty: A4,Rozhrania: USB,Ethernet,RAM: 1GB, Zasobnik: 550, Rozlisenie: 1200dpi,Zaruka: 3</t>
  </si>
  <si>
    <t>Typ: Epson LX-350 M552dn,Technologia: ihličková,Farba: nie, Formaty: traktor,štítky,kotúč,obálky, A4,Rozhrania: USB,Ethernet,RAM: 1GB, Zasobnik: 550, Rozlisenie: 240x144dpi,Zaruka: 3</t>
  </si>
  <si>
    <t>Typ: HP LaserJet Pro MFP M426fdn,Technologia: laser,Farba: nie, Formaty: A4,Rozhrania: USB,Ethernet,RAM: 256MB, Zasobnik: 250, R. tlace: 1200dpi, R. kopirky: 600dpi, R. skenera: 1200dpi,Zaruka: 3</t>
  </si>
  <si>
    <t>Typ: HP PageWide Pro MFP,Technologia: atrament,Farba: áno, Formaty: A4,Rozhrania: USB,Ethernet,RAM: 768MB, Zasobnik: 500, R. tlace: 600dpi, R. kopirky: 600dpi, R. skenera: 1200dpi,Zaruka: 3</t>
  </si>
  <si>
    <t>Typ: HP Color LaserJet Enterprise Flow MFP M880z+,Technologia: laser,Farba: áno, Formaty: A3-A5,Rozhrania: USB,Ethernet,RAM: 2,5GB, Hdd: 320GB, Zasobnik: 4000, R. tlace: 1200dpi, R. kopirky: 600dpi, R. skenera: 600dpi,Zaruka: 3</t>
  </si>
  <si>
    <t>HP Color LaserJet Boolet Maker/Finisher</t>
  </si>
  <si>
    <t>Typ: EPSON WorkForce DS-1360, Format: A4, Rozlisenie: 1200dpi, Zasobnik: 50,Zaruka: 3</t>
  </si>
  <si>
    <t>Typ: EPSON WorkForce DS-6500, Format: A4, Rozlisenie: 1200dpi, Zasobnik: 100,Zaruka: 3</t>
  </si>
  <si>
    <t>Typ: HP ScanJet Enterprise Flow 5000 s4, Format: A4, Rozlisenie: 600dpi, Zasobnik: 80,Zaruka: 3</t>
  </si>
  <si>
    <t>Typ: HP ScanJet Enterprise Flow N9120 fn2, Format: A3, Rozlisenie: 600dpi, Zasobnik: 200,Zaruka: 3</t>
  </si>
  <si>
    <t>Typ: EPSON EB-1795F,Technol.: 3LCD,Svetlost: 3200lm,Zdroj svetla: žiarovka s neuvedenou životnosťou,Rozlisenie: 1920x1080,Kontrast: 10 000:1,Rozhrania: USB, HDMI, VGA, WIFI,Zaruka: 3</t>
  </si>
  <si>
    <t>Typ: EPSON EB-2247U,Technol.: 3LCD,Svetlost: 4200lm,Zdroj svetla: žiarovka s neuvedenou životnosťou,Rozlisenie: FHD, Kontrast: 15 000:1,Rozhrania: USB, HDMI, VGA, Ethernet, WIFI,Zaruka: 3</t>
  </si>
  <si>
    <t>Typ: Dell PowerEdge R640, Proc: 2xIntel Silver 4116,RAM: 64GB,Disk: príprava SSD m.2 240GB,HDD 2x 300GB SAS hotswap, Radic: RAID10 8GB cache, Ethernet: 4x 1Gbps-25Gbps, GPU: Zdiel., Vyhotovenie: 1U, OS nezávislý systém manažment, Zaruka: 3</t>
  </si>
  <si>
    <t>Typ: Dell PowerEdge R740, Proc: 2xIntel Silver 4116,RAM: 64GB,Disk: príprava SSD m.2 240GB,HDD 8x 300GB SAS hotswap, Radic: RAID10 8GB cache, Ethernet: 4x 1Gbps-25Gbps, GPU: Rozšír. na 3xWide GPU 300W/6xWideGPU 150W, Vyhotovenie: 2U, OS nezávislý systém manažment, Zaruka: 3</t>
  </si>
  <si>
    <t>Typ: Dell PowerEdge R740XD, Proc: 2xIntel Silver 4116,RAM: 64GB,Disk: príprava SSD m.2 240GB,SSD 4x 480GB SAS hotswap,HDD 8x 4TB NLSAS hotswap, Radic: RAID10 8GB cache, Ethernet: 4x 1Gbps-25Gbps, GPU: Zdiel., Vyhotovenie: 2U, OS nezávislý systém manažment, Zaruka: 3</t>
  </si>
  <si>
    <t>Typ: Dell PowerEdge R940, Proc: 4xIntel Xeon Platinum 8180,RAM: 768GB,Disk: príprava SSD m.2 240GB,SSD 2x 1TB NVMe 2,5" hotswap,HDD 6x 1,8TB SAS hotswap, Radic: RAID10 8GB cache, Ethernet: 4x 1Gbps-25Gbps, GPU: Zdiel., Vyhotovenie: 3U, OS nezávislý systém manažment, Zaruka: 3</t>
  </si>
  <si>
    <t>Typ: Blade chassis, Vyska: 10U, redundantné napájacie zdroje, redundantné ventiátory, KVM prepínač, Zaruka: 3</t>
  </si>
  <si>
    <t>Typ: Dell PowerEdge M640, Proc: 2xIntel Xeon Gold 6134,RAM: 32GB,Disk: m.2 rozhranie, Radic: RAID10 2GB cache, Ethernet: 2x 10Gbps,2x 8Gbps FC, GPU: Zdiel., OS nezávislý systém manažment, Zaruka: 3</t>
  </si>
  <si>
    <t>Typ: Dell EMC SCv3020 3Ux30 Drive, Technol.: SAS3 s podporou NLSAS a SSD, Radic: 2x 12 Gbps RAID5-10DM, Cache: 32GB, Disky: 7x 900GB SAS 10k/min, Porty: 4x SAS IO, Vyhotovenie: 3U, vzdialený prístup, automatický tiering, Zaruka: 3</t>
  </si>
  <si>
    <t>Typ: Dell EMC Unity 300, Technol.: SAS3 s podporou NLSAS a SSD, Radic: 2x 12 Gbps RAID0-6, Cache: 48GB + 24GB (nie SSD cache), Disky: 25x 600GB SAS 10k/min, Porty: 4+4x SAS IO (16Gb FC + 10GbE), Vyhotovenie: 2U, vzdialený prístup, automatický tiering, Zaruka: 3</t>
  </si>
  <si>
    <t>Typ: Dell NetShelter SX 42U, Vyska: 42U, Zaruka: 3</t>
  </si>
  <si>
    <t>Typ: APC Smart-UPS SRT 6000VA, Spinanie: online,Vykon: 6000W,Vyhot.: neuvedené,Zaruka: 3</t>
  </si>
  <si>
    <t>Typ: Dell Smart-UPS SRT 3000VA RM, Spinanie: online,Vykon: 4500W,Vyhot.: neuvedené,Zaruka: 3</t>
  </si>
  <si>
    <t>Rámcová dohoda na dodávku hardvéru informačných a komunikačných technológií pre Technickú univerzitu vo Zvolene</t>
  </si>
  <si>
    <t>https://crz.gov.sk/4185749</t>
  </si>
  <si>
    <t>https://www.crz.gov.sk/data/att/4185755_dokument1.pdf</t>
  </si>
  <si>
    <t>Typ: HP ProBook 430 G6,Proc.: 4-jadro passmark 7900,RAM: 8GB,Disk: SSD NVMe 256GB,VGA: zdiel.,Disp: FHD,OS: Win10Pro, podsv. klávesnica,TPM,bez dokovacej stanice,Zaruka: neuvedené</t>
  </si>
  <si>
    <t>Typ: HP EliteBook 830 G5,Proc.: 4-jadro passmark 8200,RAM: 8GB,Disk: SSD NVMe 512GB,VGA: zdiel.,Disp: FHD,OS: Win10Pro,WWAN, podsv. klávesnica,TPM,bez dokovacej stanice,Zaruka: neuvedené</t>
  </si>
  <si>
    <t>Typ: HP ProBook 450 G6,Proc.: 2-jadro passmark 5000,RAM: 8GB,Disk: SSD NVMe 256GB,VGA: zdiel.,Disp: FHD,OS: Win10Pro,podsv. klávesnica,TPM,bez dokovacej stanice,Zaruka: neuvedené</t>
  </si>
  <si>
    <t>Typ: HP ProBook x360 440 G1,Proc.: 4-jadro passmark 7600,RAM: 8GB,Disk: SSD NVMe 256GB,VGA: zdiel.,Disp: FHD,OS: Win10Pro,podsv. klávesnica,TPM,bez dokovacej stanice,Zaruka: neuvedené</t>
  </si>
  <si>
    <t>Typ: HP EliteBook 840 G5,Proc.: 4-jadro passmark 8200,RAM: 16GB,Disk: SSD NVMe 512GB,VGA: zdiel.,Disp: FHD,OS: Win10Pro,WWAN, podsv. klávesnica,TPM,bez dokovacej stanice,Zaruka: neuvedené</t>
  </si>
  <si>
    <t>Typ: HP ProBook 450 G6,Proc.: 2-jadro passmark 5300,RAM: 8GB,Disk: SSD NVMe 256GB,VGA: zdiel.,Disp: FHD,OS: Win10Pro,podsv. klávesnica,TPM,bez dokovacej stanice,Zaruka: neuvedené</t>
  </si>
  <si>
    <t>Typ: HP ProBook 450 G6,Proc.: 4-jadro passmark 7900,RAM: 8GB,Disk: SSD NVMe 256GB,VGA: zdiel.,Disp: FHD,OS: Win10Pro,podsv. klávesnica,TPM,bez dokovacej stanice,Zaruka: neuvedené</t>
  </si>
  <si>
    <t>Typ: HP ProBook 450 G6,Proc.: 4-jadro passmark 8900,RAM: 8GB,Disk: SSD NVMe 256GB,VGA: zdiel.,Disp: FHD,OS: Win10Pro,podsv. klávesnica,TPM,bez dokovacej stanice,Zaruka: neuvedené</t>
  </si>
  <si>
    <t>Typ: Apple MacBook Air 13",Proc.: 2-jadro passmark 4000,RAM: 8GB,Disk: SSD PCIe 256GB,VGA: zdiel.,Disp: 2560x1600,OS:macOS Mojave,podsv. klávesnica,bez dokovacej stanice,Zaruka: neuvedené</t>
  </si>
  <si>
    <t>Typ: Apple MacBook Pro 13",Proc.: 4-jadro passmark 10900,RAM: 8GB,Disk: SSD PCIe 256GB,VGA: zdiel.,Disp: 2560x1600,OS:macOS Mojave,podsv. klávesnica,bez dokovacej stanice,Zaruka: neuvedené</t>
  </si>
  <si>
    <t>Typ: Apple MacBook Pro 15",Proc.: 6-jadro passmark 12400,RAM: 16GB,Disk: SSD 256GB,VGA: nezdiel. 3GD 3100,Disp: 2880x1800,OS:macOS Mojave,podsv. klávesnica,bez dokovacej stanice,Zaruka: neuvedené</t>
  </si>
  <si>
    <t>Typ: Samsung Galaxy Tab A 10.5,Proc.: 8-jadro 1.8GHz,RAM: 3GB,Disk: CF 32GB,Disp.: 1920x1200,OS: Android,Fotoaparat 2x,bluetooth,wifi,gps,4g/lte,Zaruka: neuvedené</t>
  </si>
  <si>
    <t>Typ: Apple iPad mini wifi+cellular 64GB,Proc.: 64-bit,RAM: neuvedené,Disk: CF 64GB,Disp.: retina,OS: iOS12,wifi,Zaruka: neuvedené</t>
  </si>
  <si>
    <t>Typ: Apple iPad mini wifi+cellular 128GB,Proc.: 64-bit,RAM: neuvedené,Disk: CF 128GB,Disp.: retina,OS: iOS11,wifi,Zaruka: neuvedené</t>
  </si>
  <si>
    <t>Typ: Apple iPad mini wifi+cellular 256GB,Proc.: 64-bit,RAM: neuvedené,Disk: CF 256GB,Disp.: retina,OS: iOS12,wifi,Zaruka: neuvedené</t>
  </si>
  <si>
    <t>Typ: HP ProDesk 400 G5 MT,Proc: 4-jadro passmark 8000,RAM: 8GB,Disk: SSD NVMe 256GB,VGA: zdiel,OS: Win10Pro,klávesnica,myš,DVD,Zaruka: neuvedené</t>
  </si>
  <si>
    <t>Typ: HP ProDesk 400 G5 MT,Proc: 6-jadro passmark 11900,RAM: 8GB,Disk: SSD NVMe 256GB,VGA: zdiel,OS: Win10Pro,klávesnica,myš,DVD,Zaruka: neuvedené</t>
  </si>
  <si>
    <t>Typ: HP ProDesk 400 G5 MT,Proc: 6-jadro passmark 15100,RAM: 8GB,Disk: SSD NVMe 256GB,VGA: zdiel,OS: Win10Pro,klávesnica,myš,DVD,Zaruka: neuvedené</t>
  </si>
  <si>
    <t>Typ: HP EliteDesk 800 G4 TWR,Proc: 6-jadro passmark 11900,RAM: 8GB,Disk: SSD NVMe 256GB,VGA: nezdiel. 3GD 8450,OS: Win10Pro,klávesnica,myš,DVD,Zaruka: neuvedené</t>
  </si>
  <si>
    <t>Typ: HP EliteDesk 800 G4 TWR,Proc: 6-jadro passmark 15100,RAM: 16GB,Disk: SSD NVMe 256GB,VGA: nezdiel. 3GD 3640,OS: Win10Pro,klávesnica,myš,DVD,Zaruka: neuvedené</t>
  </si>
  <si>
    <t>Typ: HP EliteDesk 800 G4 TWR,Proc: 6-jadro passmark 15100,RAM: 16GB,Disk: SSD NVMe 512GB,VGA: nezdiel. 3GD 8900,OS: Win10Pro,klávesnica,myš,DVD,Zaruka: neuvedené</t>
  </si>
  <si>
    <t>Typ: HP ProOne 400 G4 AiO 20NT,Proc: 4-jadro passmark 7300,RAM: 8GB,Disk: SSD NVMe 256GB,VGA: zdiel.,OS: Win10Pro,klávesnica,myš,DVD,Zaruka: neuvedené</t>
  </si>
  <si>
    <t>Typ: HP ProOne 440 G4 AiO 23.8NT,Proc: 6-jadro passmark 9900,RAM: 8GB,Disk: SSD NVMe 256GB,VGA: zdiel.,OS: Win10Pro,klávesnica,myš,DVD,Zaruka: neuvedené</t>
  </si>
  <si>
    <t>Typ: HP EliteOne 1000 G2 AiO 27NT,Proc: 6-jadro passmark 11900,RAM: 8GB,Disk: SSD NVMe 256GB,VGA: zdiel,OS: Win10Pro,klávesnica,myš,Zaruka: neuvedené</t>
  </si>
  <si>
    <t>Typ: HP EliteOne 1000 G2 AiO 27NT,Proc: 6-jadro passmark 15100,RAM: 16GB,Disk: SSD NVMe 512GB,VGA: zdiel,OS: Win10Pro,klávesnica,myš,Zaruka: neuvedené</t>
  </si>
  <si>
    <t>Typ: HP Z2 G4,Proc: 6-jadro passmark 15100,RAM: 16GB,Disk: HDD 1TB,VGA: zdiel,OS: Win10Pro,klávesnica,myš,DVD,Zaruka: neuvedené</t>
  </si>
  <si>
    <t>Typ: HP Z2 G4,Proc: 4-jadro passmark 12300,RAM: 16GB,Disk: SSD NVMe 256GB,VGA: zdiel,OS: Win10Pro,klávesnica,myš,DVD,Zaruka: neuvedené</t>
  </si>
  <si>
    <t>Typ: HP Z2 G4,Proc: 10-jadro passmark 21800,RAM: 32GB,Disk: SSD NVMe 512GB + HDD 4TB,VGA: zdiel,OS: Win10Pro,klávesnica,myš,DVD,Zaruka: neuvedené</t>
  </si>
  <si>
    <t>Typ: Philips 223V5LHSB2/00,Rozlisenie: 1920x1080,Frekv: 60 Hz,Velkost: 21,5",Kontrast: 600:1,Vstupy: VGA,HDMI,matný,Zaruka: neuvedené</t>
  </si>
  <si>
    <t>Typ: Philips 243V5LSB5/00,Rozlisenie: 1920x1080,Frekv: 60 Hz,Velkost: 23,6",Kontrast: 1000:1,Vstupy: VGA,DVI,matný,Zaruka: neuvedené</t>
  </si>
  <si>
    <t>Typ: Philips 241S4LCB/00,Rozlisenie: 1920x1080,Frekv: 60 Hz,Velkost: 24",Kontrast: 1000:1,Vstupy: VGA,DVI,matný, nastaviteľný,Zaruka: neuvedené</t>
  </si>
  <si>
    <t>Typ: Philips 271B8QJEB/00,Rozlisenie: 1920x1080,Frekv: 60 Hz,Velkost: 27",Kontrast: 1000:1,Vstupy: VGA,DVI,DP,HDMI,matný, nastaviteľný,Zaruka: neuvedené</t>
  </si>
  <si>
    <t>Typ: Philips 272P7VPTKEB/00,Rozlisenie: 3840x2160,Frekv: 60 Hz,Velkost: 27",Kontrast: 1300:1,Vstupy: VGA,DVI,miniDP,DP,HDMI,matný, nastaviteľný,Zaruka: neuvedené</t>
  </si>
  <si>
    <t>Typ: Philips 328P6VUBREB/00,Rozlisenie: 3840x2160,Frekv: 60 Hz,Velkost: 31,5",Kontrast: 3000:1,Vstupy: DP,HDMI,matný, nastaviteľný,Zaruka: neuvedené</t>
  </si>
  <si>
    <t>Typ: HP LaserJet Pro M102a,Technologia: laser,Farba: nie,Formaty: A4,Rozhrania: USB,RAM: 128MB, Pam. Karta: nie,Zasobnik: 250,Rozlisenie: 600dpi,Duplex: nie,Zaruka: neuvedené</t>
  </si>
  <si>
    <t>Typ: OKI ES4132dn,Technologia: led,Farba: nie,Formaty: A4,Rozhrania: USB, ethernet,RAM: 512MB,Pam. karta: 3GB,Zasobnik: 350,Rozlisenie: 1200dpi,Duplex: áno,Zaruka: neuvedené</t>
  </si>
  <si>
    <t>Typ: HP LaserJet Pro M203dn,Technologia: laser,Farba: nie,Formaty: A4,Rozhrania: USB, ethernet, airprint,RAM: 256MB,Pam. karta: nie,Zasobnik: 260,Rozlisenie: 1200dpi,Duplex: áno,Zaruka: neuvedené</t>
  </si>
  <si>
    <t>Typ: OKI ES7131dnw,Technologia: led,Farba: nie,Formaty: A4,Rozhrania: USB, ethernet, wifi, airprint,RAM: 256MB,Pam. karta: nie,Zasobnik: 630,Rozlisenie: 1200dpi,Duplex: áno,Zaruka: neuvedené</t>
  </si>
  <si>
    <t>Typ: HP Color LaserJet Pro M454dn,Technologia: laser,Farba: áno,Formaty: A4,Rozhrania: USB, ethernet, airprint, Airprint,RAM: 128MB,Pam. karta: 256MB,Zasobnik: 850,Rozlisenie: 600dpi,duplex: áno,Zaruka: neuvedené</t>
  </si>
  <si>
    <t>Typ: OKI ES5432dn,Technologia: led,Farba: áno,Formaty: A4,Rozhrania: USB, ethernet, wifi, airprint,RAM: 1GB,Pam. karta: 3GB,Zasobnik: 350,Rozlisenie: 1200dpi,Duplex: áno,Zaruka: neuvedené</t>
  </si>
  <si>
    <t>Typ: OKI ES4192dn MFP,Technologia: led,Farba: nie,Formaty: A4,Rozhrania: USB, ethernet, airprint,RAM: 1GB,Pam. karta: 3GB,Zasobnik: 850,R. tlace: 1200dpi,R. kopirky: 600dpi,R. skenera: 600dpi,Duplex: áno,Zaruka: neuvedené</t>
  </si>
  <si>
    <t>Typ: HP LaserJet Pro M130a,Technologia: laser,Farba: nie,Formaty: A4,Rozhrania: USB,RAM: 128MB,Pam. karta: nie,Zasobnik: 150,R. tlace: 600dpi,R. kopirky: 600dpi,R. skenera: 600/1200dpi,Duplex: nie,Zaruka: neuvedené</t>
  </si>
  <si>
    <t>Typ: HP LaserJet Pro M227sdn,Technologia: laser,Farba: nie,Formaty: A4,Rozhrania: USB, ethernet, airprint,RAM: 256MB,Pam. karta: nie,Zasobnik: 260,R. tlace: 1200dpi,R. kopirky: 600dpi,R. skenera: 600/1200dpi,Duplex: áno,Zaruka: neuvedené</t>
  </si>
  <si>
    <t>Typ: OKI ES5473dn,Technologia: led,Farba: áno,Formaty: A4,Rozhrania: USB, ethernet, wifi, airprint,RAM: 1GB,Pam. karta: 3GB,Zasobnik: 1350,R. tlace: 1200dpi,R. kopirky: 600dpi,R. skenera: 600dpi,Duplex: áno,Zaruka: neuvedené</t>
  </si>
  <si>
    <t>Typ: HP Color LaserJet Pro MFP M479dw,Technologia: laser,Farba: áno,Formaty: A4,Rozhrania: USB, ethernet, wifi, airprint,RAM: 512MB,Pam. karta: 512MB,Zasobnik: neuvedené,R. tlace: 600dpi,R. kopirky: 1200dpi,R. skenera: 1200dpi,Duplex: áno,Zaruka: neuvedené</t>
  </si>
  <si>
    <t>Typ: HP PageWide Pro MFP 477dw,Technologia: laser,Farba: áno,Formaty: A4,Rozhrania: USB, ethernet, wifi, airprint,RAM: 768MB,Pam. karta: nie,Zasobnik: neuvedené,R. tlace: 600dpi,R. kopirky: 1200dpi,R. skenera: 1200dpi,Duplex: áno,Zaruka: neuvedené</t>
  </si>
  <si>
    <t>Typ: OKI ES5473dn,Technologia: led,Farba: áno,Formaty: A3,Rozhrania: USB, ethernet, wifi, airprint,RAM: 1,26GB,Pam. karta: HDD 250GB,Zasobnik: 1900,R. tlace: 1200x600dpi,R. kopirky: 600dpi,R. skenera: 600dpi,Duplex: áno,Zaruka: neuvedené</t>
  </si>
  <si>
    <t>Typ: EPSON Perfection V19, Format: A4, Rozlisenie: 4800dpi, Zasobnik: nie,Zaruka: neuvedené</t>
  </si>
  <si>
    <t>Typ: EPSON Perfection V370 Photo, Format: A4, Rozlisenie: 4800dpi, Zasobnik: nie,Zaruka: neuvedené</t>
  </si>
  <si>
    <t>Typ: HP Designjet T530, 24",Technologia: termálna atramentová,Farba: áno,Formaty: A1,Rozhrania: USB, ethernet, wifi,RAM: 1000MB,Pam. karta: nie,Zasobnik: automatická rezačka,Rozlisenie: 2400x1200dpi,Zaruka: neuvedené</t>
  </si>
  <si>
    <t>Typ: HP Designjet T530, 36",Technologia: termálna atramentová,Farba: áno,Formaty: A0,Rozhrania: USB, ethernet, wifi,RAM: 1000MB,Pam. karta: nie,Zasobnik: automatická rezačka,Rozlisenie: 2400x1200dpi,Zaruka: neuvedené</t>
  </si>
  <si>
    <t>Typ: EPSON EB-U42,Technol.: 3LCD,Svetlost: 3600lm,Zdroj svetla: žiarovka 6000h,Rozlisenie: 1920x1200,Kontrast: 15000:1,Rozhrania: Miracast, CINCH, MHL, Kompozit, USB, HDMI, VGA, WIFI,Zaruka: 5</t>
  </si>
  <si>
    <t>Typ: EPSON EB-990U,Technol.: 3LCD,Svetlost: 3800lm,Zdroj svetla: žiarovka 6000h,Rozlisenie: 1920x1200,Kontrast: 15000:1,Rozhrania: Miracast, JACK, RS232, Mikrofón, MHL, Kompozit, USB, HDMI, VGA, WIFI,Zaruka: 5</t>
  </si>
  <si>
    <t>Typ: EPSON EB-700U,Technol.: 3LCD,Svetlost: 4000lm,Zdroj svetla: laser 20000h,Rozlisenie: 1920x1200,Kontrast: 2500000:1,Rozhrania: Miracast, JACK, RS232, Mikrofón, MHL, Kompozit, USB, HDMI, VGA, WIFI,Zaruka: 5</t>
  </si>
  <si>
    <t>Typ: EPSON EB-2265U,Technol.: 3LCD,Svetlost: 5500lm,Zdroj svetla: žiarovka 5000h,Rozlisenie: 1920x1200,Kontrast: 15000:1,Rozhrania: Miracast, JACK, RS232, Mikrofón, MHL, Kompozit, USB, HDMI, VGA, LAN, WIFI,Zaruka: 5</t>
  </si>
  <si>
    <t>Typ: EPSON EB-L1300U,Technol.: 3LCD,Svetlost: 8000lm,Zdroj svetla: laser 20000h,Rozlisenie: 1920x1200+emul.4K,Kontrast: 2500000:1,Rozhrania: BNC, Miracast, JACK, RS232, Mikrofón, USB, DVI, HDMI, VGA, LAN, WIFI,Zaruka: 5</t>
  </si>
  <si>
    <t>Typ: EPSON EB-L1755U,Technol.: 3LCD,Svetlost: 15000lm,Zdroj svetla: laser 20000h,Rozlisenie: 1920x1200+emul.4K,Kontrast: 2500000:1,Rozhrania: BNC, Miracast, JACK, RS232, Mikrofón, USB, DVI, HDMI, VGA, LAN, WIFI,Zaruka: 5</t>
  </si>
  <si>
    <t>Typ: WD My Passport,Vyhot.: externý,Kapacita: 1TB,Rozmer: 2,5",Druh: HDD5400,Rozhranie: USB 3.0,Cache: 8MB,Zaruka: neuvedené</t>
  </si>
  <si>
    <t>Typ: WD My Passport,Vyhot.: externý,Kapacita: 2TB,Rozmer: 2,5",Druh: HDD5400,Rozhranie: USB 3.0,Cache: 8MB,Zaruka: neuvedené</t>
  </si>
  <si>
    <t>Typ: WD My Passport,Vyhot.: externý,Kapacita: 4TB,Rozmer: 2,5",Druh: HDD5400,Rozhranie: USB 3.0,Cache: 8MB,Zaruka: neuvedené</t>
  </si>
  <si>
    <t>Typ: ADATA External SSD ASD700,Vyhot.: externý,Kapacita: 256GB,Rozmer: 2,5",Druh: SSD,Rozhranie: USB 3.1,Cache: bez,Zaruka: neuvedené</t>
  </si>
  <si>
    <t>Typ: ADATA External SSD ASD600,Vyhot.: externý,Kapacita: 512GB,Rozmer: 2,5",Druh: SSD,Rozhranie: USB 3.1,Cache: bez,Zaruka: neuvedené</t>
  </si>
  <si>
    <t>Typ: ADATA External SSD ASD700,Vyhot.: externý,Kapacita: 1TB,Rozmer: 2,5",Druh: SSD,Rozhranie: USB 3.1,Cache: bez,Zaruka: neuvedené</t>
  </si>
  <si>
    <t>Taška na notebook 14,1",Zaruka: neuvedené</t>
  </si>
  <si>
    <t>Taška na notebook 17,3",Zaruka: neuvedené</t>
  </si>
  <si>
    <t>Typ: SEASONIC SSP-350ST 80+,Vyhot.: ATX,Vykon: 350W,Zaruka: neuvedené</t>
  </si>
  <si>
    <t>Typ: SEASONIC SSP-450RT 80+,Vyhot.: ATX,Vykon: 450W,Zaruka: neuvedené</t>
  </si>
  <si>
    <t>Typ: SEASONIC Focus Plus SSP-750FX 80+ GOLD,Vyhot.: ATX,Vykon: 750W,Zaruka: neuvedené</t>
  </si>
  <si>
    <t>Typ: WD Blue WD10EZEX,Vyhot.: interný,Kapacita: 1TB,Rozmer: 3,5",Druh: HDD5400,Rozhranie: SATA III,Cache: 64MB,Zaruka: neuvedené</t>
  </si>
  <si>
    <t>Typ: WD Blue WD20EZRZ,Vyhot.: interný,Kapacita: 2TB,Rozmer: 3,5",Druh: HDD5400,Rozhranie: SATA III,Cache: 64MB,Zaruka: neuvedené</t>
  </si>
  <si>
    <t>Typ: WD Blue WD30EZRZ,Vyhot.: interný,Kapacita: 3TB,Rozmer: 3,5",Druh: HDD5400,Rozhranie: SATA III,Cache: 64MB,Zaruka: neuvedené</t>
  </si>
  <si>
    <t>Typ: WD Blue WD40EZRZ,Vyhot.: interný,Kapacita: 4TB,Rozmer: 3,5",Druh: HDD5400,Rozhranie: SATA III,Cache: 64MB,Zaruka: neuvedené</t>
  </si>
  <si>
    <t>Typ: Intel SSD 545s Series,Vyhot.: interný,Kapacita: 256GB,Rozmer: 2,5",Druh: SSD,Rozhranie: SATA 6Gb/s,Cache: bez,Zaruka: neuvedené</t>
  </si>
  <si>
    <t>Typ: Intel SSD 545s Series,Vyhot.: interný,Kapacita: 512GB,Rozmer: 2,5",Druh: SSD,Rozhranie: SATA 6Gb/s,Cache: bez,Zaruka: neuvedené</t>
  </si>
  <si>
    <t>Typ: Samsung EVO 860,Vyhot.: interný,Kapacita: 1TB,Rozmer: 2,5",Druh: SSD,Rozhranie: SATA 6Gb/s,Cache: bez,Zaruka: neuvedené</t>
  </si>
  <si>
    <t>Typ: Intel SSD 545s Series,Vyhot.: interný,Kapacita: 256GB,Rozmer: karta,Druh: SSD,Rozhranie: NVMe,Cache: bez,Zaruka: neuvedené</t>
  </si>
  <si>
    <t>Typ: Intel SSD 545s Series,Vyhot.: interný,Kapacita: 512GB,Rozmer: karta,Druh: SSD,Rozhranie: NVMe,Cache: bez,Zaruka: neuvedené</t>
  </si>
  <si>
    <t>Typ: Intel SSD 660p Series,Vyhot.: interný,Kapacita: 1TB,Rozmer: karta,Druh: SSD,Rozhranie: NVMe,Cache: bez,Zaruka: neuvedené</t>
  </si>
  <si>
    <t>Typ: TRANSCEND 2Rx8 CL5,Druh: DIMM,Kapacita: 2GB,Generacia: DDR2,Frekv.: 667MHz,Zaruka: neuvedené</t>
  </si>
  <si>
    <t>Typ: Kingston ValueRAM CL9,Druh: DIMM,Kapacita: 4GB,Generacia: DDR3,Frekv.: 1333MHz,Zaruka: neuvedené</t>
  </si>
  <si>
    <t>Typ: Kingston ValueRAM CL9,Druh: DIMM,Kapacita: 8GB,Generacia: DDR3,Frekv.: 1333MHz,Zaruka: neuvedené</t>
  </si>
  <si>
    <t>Typ: Kingston ValueRAM 1Rx16 CL17,Druh: DIMM,Kapacita: 4GB,Generacia: DDR4,Frekv.: 2400MHz,Zaruka: neuvedené</t>
  </si>
  <si>
    <t>Typ: Kingston ValueRAM 1Rx8 CL17,Druh: DIMM,Kapacita: 8GB,Generacia: DDR4,Frekv.: 2400MHz,Zaruka: neuvedené</t>
  </si>
  <si>
    <t>Typ: Kingston ValueRAM 2Rx8 CL17,Druh: DIMM,Kapacita: 16GB,Generacia: DDR4,Frekv.: 2400MHz,Zaruka: neuvedené</t>
  </si>
  <si>
    <t>Typ: TRANSCEND 1Rx16 CL5,Druh: SODIMM,Kapacita: 2GB,Generacia: DDR2,Frekv.: 667MHz,Zaruka: neuvedené</t>
  </si>
  <si>
    <t>Typ: Kingston ValueRAM SR X8 CL9,Druh: SODIMM,Kapacita: 4GB,Generacia: DDR3,Frekv.: 1333MHz,Zaruka: neuvedené</t>
  </si>
  <si>
    <t>Typ: Kingston ValueRAM SR X8 CL9,Druh: SODIMM,Kapacita: 8GB,Generacia: DDR3,Frekv.: 1333MHz,Zaruka: neuvedené</t>
  </si>
  <si>
    <t>Typ: Kingston ValueRAM CL17,Druh: SODIMM,Kapacita: 4GB,Generacia: DDR4,Frekv.: 2400MHz,Zaruka: neuvedené</t>
  </si>
  <si>
    <t>Typ: Kingston ValueRAM 1Rx8 CL17,Druh: SODIMM,Kapacita: 8GB,Generacia: DDR4,Frekv.: 2400MHz,Zaruka: neuvedené</t>
  </si>
  <si>
    <t>Typ: Kingston ValueRAM 2Rx8 CL17,Druh: SODIMM,Kapacita: 16GB,Generacia: DDR4,Frekv.: 2400MHz,Zaruka: neuvedené</t>
  </si>
  <si>
    <t>Typ: Nvidia GT710 2GD3H H2D,Proc.: Passmark 650,RAM: 2GB GDDR3,Frekv. Jadra/RAM: 954/1600 MHz,Zbernica: PCIe x16 2.0,Vystupy: 2xDVI,HDMI,Zaruka: neuvedené</t>
  </si>
  <si>
    <t>Typ: Nvidia Quadro P400,Proc.: Passmark 1450,RAM: 2GB GDDR5,Frekv. Jadra/RAM: 1070/1752 MHz,Zbernica: PCIe x16 3.0,Vystupy: 3xminiDP,Zaruka: neuvedené</t>
  </si>
  <si>
    <t>Typ: Nvidia GeForce RTX2080,Proc.: Passmark 15500,RAM: 8GB GDDR6,Frekv. Jadra/RAM: 1515/8x1750 MHz,Zbernica: PCIe x16 3.0,Vystupy: HDMI, 3xDP, USB-C,Zaruka: neuvedené</t>
  </si>
  <si>
    <t>Typ: Synology DiskStation DS418play,Technol.: SATA/iSCSI,Radic: RAID0-10,Cache: 4GB RAM,Disky: 4x WD RED NAS 6TB,Porty: 4 SATA,Vyhotovenie: na stôl,2x1Gb LAN,vzdialený prístup,Zaruka: 3 roky</t>
  </si>
  <si>
    <t>Typ: Synology DiskStation DS1819+,Technol.: SATA/iSCSI,Radic: RAID0-10,Cache: 20GB RAM,Disky: 8x WD RED NAS 6TB,Porty: 8 SATA,Vyhotovenie: na stôl,4x1Gb LAN,vzdialený prístup, Zaruka: 3 roky</t>
  </si>
  <si>
    <t>Typ: Synology DiskStation RS3617xs+,Technol.: SATA/iSCSI,Radic: RAID0-10,Cache: 24GB RAM,Disky: 2x Intel SSD 960GB, 10x WD RED NAS 6TB,Porty: 12 SATA,Vyhotovenie: rackmount,4x1Gb + 2x10Gb LAN,vzdialený prístup,Zaruka: 5</t>
  </si>
  <si>
    <t>Typ: HP MSA2052,Technol.: iSCSI/FC,Radic: 2xRAID0-10,Cache: 2x8GB,Disky: 24x 1.8TB HDD 10000RPM + 12x 4TB HDD,Porty: 12 SATA,Vyhotovenie: rackmount,4x1Gb + 2x10Gb LAN,vzdialený prístup,Zaruka: 5+4HOD</t>
  </si>
  <si>
    <t>Typ: HP Microserver,Proc: CPU 4-core,6-gcore 3,2GHz,RAM: 16GB,Disk: HDD 2x 1TB,Radic: RAID1,0,10,Ethernet: 2x 1Gbps,GPU: Zdiel.,Vyhotovenie: neuvedené,OS nezávislý systém manažment,DVD-RW,Zaruka: 5+NBD</t>
  </si>
  <si>
    <t>Typ: HP DL325 gen10, Proc: 8 jadier,Passmark 11300 2,1GHz,RAM: 32GB,Disk: HDD 2x 300GB,Radic: RAID1,0,10, 2GB cache,Ethernet: 4x 1Gbps + 2x 10Gb SFP + 2x16Gb FC,GPU: Zdiel.,Vyhotovenie: 1U,OS nezávislý systém manažment,Zaruka: 5+NBD</t>
  </si>
  <si>
    <t>Typ: HP DL360 gen10, Proc: 8 jadier,Passmark 10500 1,8GHz,RAM: 128GB,Disk: HDD 2x 300GB,Radic: RAID1,0,10, 2GB cache,Ethernet: 4x 1Gbps + 2x 10Gb SFP + 2x16Gb FC,GPU: Zdiel.,Vyhotovenie: 1U,OS nezávislý systém manažment,Zaruka: 5+NBD</t>
  </si>
  <si>
    <t>Typ: HP DL580 gen10, Proc: 2x8 jadier,Passmark 2x10500 2x1,8GHz,RAM: 128GB,Disk: HDD 2x 300GB,Radic: RAID1,0,10, 2GB cache,Ethernet: 4x 1Gbps + 2x 10Gb SPF + 2x16Gb FC,GPU: Zdiel.,Vyhotovenie: 1U,OS nezávislý systém manažment,Zaruka: 5+NBD</t>
  </si>
  <si>
    <t>Typ: Dell EMC1124T-ON Switch,Porty/rychl.: 24x1Gbps + 4x10Gbps SFP,Uroven: 2,Vyhot.: 1U,VLAN: 512,manažovaný,Zaruka: neuvedené</t>
  </si>
  <si>
    <t>Typ: Dell EMC1148T-ON Switch,Porty/rychl.: 48x1Gbps + 4x10Gbps SFP,Uroven: 2,Vyhot.: 1U,VLAN: 512,manažovaný,Zaruka: neuvedené</t>
  </si>
  <si>
    <t>Typ: Dell EMC N3024ET-ON Switch,Porty/rychl.: 24x1Gbps + 2xCombo RJ45/SFP + 4x10Gbps SFP,Uroven: 2/3,Vyhot.: 1U,VLAN: 4000,iSCSI,manažovaný,Zaruka: neuvedené</t>
  </si>
  <si>
    <t>Typ: Dell EMC N3048ET-ON Switch,Porty/rychl.: 48x1Gbps + 2xCombo RJ45/SFP + 4x10Gbps SFP,Uroven: 2/3,Vyhot.: 1U,VLAN: 4000,iSCSI,manažovaný,Zaruka: neuvedené</t>
  </si>
  <si>
    <t>Typ: Dell Networking N4032F,Porty/rychl.: 12x10Gb SFP+ 2xQSFP + 10x LR4 40Gbe,Uroven: 2/3,Vyhot.: 1U,VLAN: 4000,iSCSI,nemanažovaný,Zaruka: neuvedené</t>
  </si>
  <si>
    <t>Typ: Dell Networking N4064F,Porty/rychl.: 12x10Gb SFP+ 4xQSFP + 32x LR4 40Gbe,Uroven: 2/3,Vyhot.: 1U,VLAN: 4000,iSCSI,nemanažovaný,Zaruka: neuvedené</t>
  </si>
  <si>
    <t>Typ: Ubiquiti UniFi AP AC Mesh PRO,Urcenie: exteriér,LAN: 2x1Gbps,Pasma: 2,4+5GHz,Rychl.: 450Mbps + 1300MBps,Normy: 802.11ac-af + PoE + MIMO 3x3,Roaming: áno,Max. SSID: 8,Zaruka: neuvedené</t>
  </si>
  <si>
    <t>Typ: Ubiquiti UniFi AP AC Mesh,Urcenie: exteriér,LAN: 2x1Gbps,Pasma: 2,4+5GHz,Rychl.: 450Mbps + 1300MBps,Normy: 802.11ac-af + PoE + MIMO 3x3,Roaming: áno,Max. SSID: 8,Zaruka: neuvedené</t>
  </si>
  <si>
    <t>Typ: Ubiquiti UniFi AP AC LR,Urcenie: interiér,LAN: 1x1Gbps,Pasma: 2,4+5GHz,Rychl.: 450Mbps + 867MBps,Normy: 802.11ac + PoE + MIMO 3x3/2x2,Roaming: áno,Max. SSID: 8,Zaruka: neuvedené</t>
  </si>
  <si>
    <t>Typ: Ubiquiti UniFi AP AC PRO,Urcenie: interiér,LAN: 1x1Gbps,Pasma: 2,4+5GHz,Rychl.: 450Mbps + 867MBps,Normy: 802.11ac + PoE + MIMO 3x3/2x2,Roaming: áno,Max. SSID: 8,Zaruka: neuvedené</t>
  </si>
  <si>
    <t>Typ: Ubiquiti UniFi AP AC LITE,Urcenie: interiér,LAN: 1x1Gbps,Pasma: 2,4+5GHz,Rychl.: 300Mbps + 867MBps,Normy: 802.11ac + PoE + MIMO 3x3/2x2,Roaming: áno,Max. SSID: 8,Zaruka: neuvedené</t>
  </si>
  <si>
    <t>Typ: Eaton 5E 500i UPS 500VA,Spinanie: Line-ineractive,Vykon: 300W,Vyhot.: Microtower,Zaruka: neuvedené</t>
  </si>
  <si>
    <t>Typ: Eaton 5E 650i UPS 650VA,Spinanie: Line-ineractive,Vykon: 360W,Vyhot.: Microtower,USB,Zaruka: neuvedené</t>
  </si>
  <si>
    <t>Typ: Eaton 5E 1500i UPS 1500VA,Spinanie: Line-ineractive,Vykon: 900W,Vyhot.: Microtower,USB,Zaruka: neuvedené</t>
  </si>
  <si>
    <t>Typ: Eaton 5E 850i Rack1U UPS 850VA,Spinanie: Line-ineractive,Vykon: 600W,Vyhot.: 1U,USB,RS232,Zaruka: neuvedené</t>
  </si>
  <si>
    <t>Typ: Eaton 9PX 1500i RT2U UPS 1500VA,Spinanie: Online,Vykon: 1500W,Vyhot.: 2U,LAN,USB,RS232,Zaruka: neuvedené</t>
  </si>
  <si>
    <t>Typ: Eaton 9PX 3000i RT2U Netpack UPS 3000VA,Spinanie: Online,Vykon: 3000W,Vyhot.: 2U,LAN,USB,RS232,Zaruka: neuvedené</t>
  </si>
  <si>
    <t>Typ: HP ProBook 430 G6,Proc.: 4-jadro passmark 7900,RAM: 8GB,Disk: SSD NVMe 256GB,VGA: zdiel.,Disp: FHD,OS: Win10Pro, podsv. klávesnica,TPM,bez dokovacej stanice,Zaruka: 3</t>
  </si>
  <si>
    <t>Typ: HP EliteBook 830 G5,Proc.: 4-jadro passmark 8200,RAM: 8GB,Disk: SSD NVMe 512GB,VGA: zdiel.,Disp: FHD,OS: Win10Pro,WWAN, podsv. klávesnica,TPM,bez dokovacej stanice,Zaruka: 3</t>
  </si>
  <si>
    <t>Typ: HP ProBook 450 G6,Proc.: 2-jadro passmark 5000,RAM: 8GB,Disk: SSD NVMe 256GB,VGA: zdiel.,Disp: FHD,OS: Win10Pro,podsv. klávesnica,TPM,bez dokovacej stanice,Zaruka: 3</t>
  </si>
  <si>
    <t>Typ: HP ProBook x360 440 G1,Proc.: 4-jadro passmark 7600,RAM: 8GB,Disk: SSD NVMe 256GB,VGA: zdiel.,Disp: FHD,OS: Win10Pro,podsv. klávesnica,TPM,bez dokovacej stanice,Zaruka: 3</t>
  </si>
  <si>
    <t>Typ: HP EliteBook 840 G5,Proc.: 4-jadro passmark 8200,RAM: 16GB,Disk: SSD NVMe 512GB,VGA: zdiel.,Disp: FHD,OS: Win10Pro,WWAN, podsv. klávesnica,TPM,bez dokovacej stanice,Zaruka: 3</t>
  </si>
  <si>
    <t>Typ: HP ProBook 450 G6,Proc.: 2-jadro passmark 5300,RAM: 8GB,Disk: SSD NVMe 256GB,VGA: zdiel.,Disp: FHD,OS: Win10Pro,podsv. klávesnica,TPM,bez dokovacej stanice,Zaruka: 3</t>
  </si>
  <si>
    <t>Typ: HP ProBook 450 G6,Proc.: 4-jadro passmark 7900,RAM: 8GB,Disk: SSD NVMe 256GB,VGA: zdiel.,Disp: FHD,OS: Win10Pro,podsv. klávesnica,TPM,bez dokovacej stanice,Zaruka: 3</t>
  </si>
  <si>
    <t>Typ: HP ProBook 450 G6,Proc.: 4-jadro passmark 8900,RAM: 8GB,Disk: SSD NVMe 256GB,VGA: zdiel.,Disp: FHD,OS: Win10Pro,podsv. klávesnica,TPM,bez dokovacej stanice,Zaruka: 3</t>
  </si>
  <si>
    <t>Typ: Apple MacBook Air 13",Proc.: 2-jadro passmark 4000,RAM: 8GB,Disk: SSD PCIe 256GB,VGA: zdiel.,Disp: 2560x1600,OS:macOS Mojave,podsv. klávesnica,bez dokovacej stanice,Zaruka: 2</t>
  </si>
  <si>
    <t>Typ: Apple MacBook Pro 13",Proc.: 4-jadro passmark 10900,RAM: 8GB,Disk: SSD PCIe 256GB,VGA: zdiel.,Disp: 2560x1600,OS:macOS Mojave,podsv. klávesnica,bez dokovacej stanice,Zaruka: 2</t>
  </si>
  <si>
    <t>Typ: Apple MacBook Pro 15",Proc.: 6-jadro passmark 12400,RAM: 16GB,Disk: SSD 256GB,VGA: nezdiel. 3GD 3100,Disp: 2880x1800,OS:macOS Mojave,podsv. klávesnica,bez dokovacej stanice,Zaruka: 2</t>
  </si>
  <si>
    <t>Typ: HP ProDesk 400 G5 MT,Proc: 4-jadro passmark 8000,RAM: 8GB,Disk: SSD NVMe 256GB,VGA: zdiel,OS: Win10Pro,klávesnica,myš,DVD,Zaruka: 3</t>
  </si>
  <si>
    <t>Typ: HP ProDesk 400 G5 MT,Proc: 6-jadro passmark 11900,RAM: 8GB,Disk: SSD NVMe 256GB,VGA: zdiel,OS: Win10Pro,klávesnica,myš,DVD,Zaruka: 3+NBD</t>
  </si>
  <si>
    <t>Typ: HP ProDesk 400 G5 MT,Proc: 6-jadro passmark 15100,RAM: 8GB,Disk: SSD NVMe 256GB,VGA: zdiel,OS: Win10Pro,klávesnica,myš,DVD,Zaruka: 3+NBD</t>
  </si>
  <si>
    <t>Typ: OKI ES7131dnw,Technologia: led,Farba: nie,Formaty: A4,Rozhrania: USB, ethernet, wifi, airprint,RAM: 256MB,Pam. karta: nie,Zasobnik: 630,Rozlisenie: 1200dpi,Duplex: áno,Zaruka: 3</t>
  </si>
  <si>
    <t>Typ: HP Color LaserJet Pro M454dn,Technologia: laser,Farba: áno,Formaty: A4,Rozhrania: USB, ethernet, airprint, Airprint,RAM: 128MB,Pam. karta: 256MB,Zasobnik: 850,Rozlisenie: 600dpi,duplex: áno,Zaruka: 3+NBD</t>
  </si>
  <si>
    <t>Typ: OKI ES5432dn,Technologia: led,Farba: áno,Formaty: A4,Rozhrania: USB, ethernet, wifi, airprint,RAM: 1GB,Pam. karta: 3GB,Zasobnik: 350,Rozlisenie: 1200dpi,Duplex: áno,Zaruka: 3</t>
  </si>
  <si>
    <t>Typ: OKI ES4192dn MFP,Technologia: led,Farba: nie,Formaty: A4,Rozhrania: USB, ethernet, airprint,RAM: 1GB,Pam. karta: 3GB,Zasobnik: 850,R. tlace: 1200dpi,R. kopirky: 600dpi,R. skenera: 600dpi,Duplex: áno,Zaruka: 3</t>
  </si>
  <si>
    <t>Typ: HP LaserJet Pro M130a,Technologia: laser,Farba: nie,Formaty: A4,Rozhrania: USB,RAM: 128MB,Pam. karta: nie,Zasobnik: 150,R. tlace: 600dpi,R. kopirky: 600dpi,R. skenera: 600/1200dpi,Duplex: nie,Zaruka: 3+NBD</t>
  </si>
  <si>
    <t>Typ: HP LaserJet Pro M227sdn,Technologia: laser,Farba: nie,Formaty: A4,Rozhrania: USB, ethernet, airprint,RAM: 256MB,Pam. karta: nie,Zasobnik: 260,R. tlace: 1200dpi,R. kopirky: 600dpi,R. skenera: 600/1200dpi,Duplex: áno,Zaruka: 3+NBD</t>
  </si>
  <si>
    <t>Typ: OKI ES5473dn,Technologia: led,Farba: áno,Formaty: A4,Rozhrania: USB, ethernet, wifi, airprint,RAM: 1GB,Pam. karta: 3GB,Zasobnik: 1350,R. tlace: 1200dpi,R. kopirky: 600dpi,R. skenera: 600dpi,Duplex: áno,Zaruka: 3</t>
  </si>
  <si>
    <t>Typ: HP Color LaserJet Pro MFP M479dw,Technologia: laser,Farba: áno,Formaty: A4,Rozhrania: USB, ethernet, wifi, airprint,RAM: 512MB,Pam. karta: 512MB,Zasobnik: neuvedené,R. tlace: 600dpi,R. kopirky: 1200dpi,R. skenera: 1200dpi,Duplex: áno,Zaruka: 3+NBD</t>
  </si>
  <si>
    <t>Typ: HP PageWide Pro MFP 477dw,Technologia: laser,Farba: áno,Formaty: A4,Rozhrania: USB, ethernet, wifi, airprint,RAM: 768MB,Pam. karta: nie,Zasobnik: neuvedené,R. tlace: 600dpi,R. kopirky: 1200dpi,R. skenera: 1200dpi,Duplex: áno,Zaruka: 3+NBD</t>
  </si>
  <si>
    <t>Typ: OKI ES5473dn,Technologia: led,Farba: áno,Formaty: A3,Rozhrania: USB, ethernet, wifi, airprint,RAM: 1,26GB,Pam. karta: HDD 250GB,Zasobnik: 1900,R. tlace: 1200x600dpi,R. kopirky: 600dpi,R. skenera: 600dpi,Duplex: áno,Zaruka: 3</t>
  </si>
  <si>
    <t>Typ: EPSON EB-U42,Technol.: 3LCD,Svetlost: 3600lm,Zdroj svetla: žiarovka 6000h,Rozlisenie: 1920x1200,Kontrast: 15000:1,Rozhrania: Miracast, CINCH, MHL, Kompozit, USB, HDMI, VGA, WIFI, Zaruka: 5</t>
  </si>
  <si>
    <t>Typ: Seagate Expansion Portable,Vyhot.: externý,Kapacita: 1TB,Rozmer: 2,5",Druh: HDD5400,Rozhranie: USB 3.0,Cache: 8MB,Zaruka: neuvedené</t>
  </si>
  <si>
    <t>Typ: Seagate Expansion Portable,Vyhot.: externý,Kapacita: 2TB,Rozmer: 2,5",Druh: HDD5400,Rozhranie: USB 3.0,Cache: 8MB,Zaruka: neuvedené</t>
  </si>
  <si>
    <t>Typ: Seagate Expansion Portable,Vyhot.: externý,Kapacita: 4TB,Rozmer: 2,5",Druh: HDD5400,Rozhranie: USB 3.0,Cache: 8MB,Zaruka: neuvedené</t>
  </si>
  <si>
    <t>Typ: My Passport WD External SSD,Vyhot.: externý,Kapacita: 256GB,Rozmer: 2,5",Druh: SSD,Rozhranie: USB 3.1,Cache: bez,Zaruka: neuvedené</t>
  </si>
  <si>
    <t>Typ: My Passport WD External SSD,Vyhot.: externý,Kapacita: 512GB,Rozmer: 2,5",Druh: SSD,Rozhranie: USB 3.1,Cache: bez,Zaruka: neuvedené</t>
  </si>
  <si>
    <t>Typ: My Passport WD External SSD,Vyhot.: externý,Kapacita: 1TB,Rozmer: 2,5",Druh: SSD,Rozhranie: USB 3.1,Cache: bez,Zaruka: neuvedené</t>
  </si>
  <si>
    <t>Typ: Fortron HEXA 85+ 350,Vyhot.: ATX,Vykon: 350W,Zaruka: neuvedené</t>
  </si>
  <si>
    <t>Typ: Fortron FSP500-60EGN 80PLUS GOLD,Vyhot.: ATX,Vykon: 500W,Zaruka: neuvedené</t>
  </si>
  <si>
    <t>Typ: SEASONIC Focus Plus SSR-750PX 80+ PLATINUM,Vyhot.: ATX,Vykon: 750W,Zaruka: neuvedené</t>
  </si>
  <si>
    <t>Typ: Crucial CL5,Druh: DIMM,Kapacita: 2GB,Generacia: DDR2,Frekv.: 667MHz,Zaruka: neuvedené</t>
  </si>
  <si>
    <t>Typ: Kingston ValueRAM CL9 SRx8,Druh: DIMM,Kapacita: 4GB,Generacia: DDR3,Frekv.: 1333MHz,Zaruka: neuvedené</t>
  </si>
  <si>
    <t>Typ: Kingston ValueRAM 1Rx8 CL17,Druh: DIMM,Kapacita: 4GB,Generacia: DDR4,Frekv.: 2400MHz,Zaruka: neuvedené</t>
  </si>
  <si>
    <t>Typ: Crucial CL5,Druh: SODIMM,Kapacita: 2GB,Generacia: DDR2,Frekv.: 667MHz,Zaruka: neuvedené</t>
  </si>
  <si>
    <t>Typ: Kingston ValueRAM CL11,Druh: SODIMM,Kapacita: 8GB,Generacia: DDR3,Frekv.: 1600MHz,Zaruka: neuvedené</t>
  </si>
  <si>
    <t>Typ: Kingston ValueRAM 1Rx16 CL17,Druh: SODIMM,Kapacita: 4GB,Generacia: DDR4,Frekv.: 2400MHz,Zaruka: neuvedené</t>
  </si>
  <si>
    <t>Typ: Synology DiskStation DS1819+,Technol.: SATA/iSCSI,Radic: RAID0-10,Cache: 4GB RAM,Disky: 8x WD RED NAS 6TB,Porty: 8 SATA,Vyhotovenie: na stôl,4x1Gb LAN,vzdialený prístup, Zaruka: 3 roky</t>
  </si>
  <si>
    <t>Typ: HP MSA2052,Technol.: iSCSI/FC,Radic: 2xRAID0-10,Cache: 2x8GB,Disky: 24x 1.8TB HDD 10000RPM + 12x 4TB HDD,Porty: 12 SATA,Vyhotovenie: rackmount,4x1Gb + 2x10Gb LAN,vzdialený prístup,Zaruka:5+4HOD</t>
  </si>
  <si>
    <t>Typ: HP DL580 gen10, Proc: 4x14 jadier, Passmark 2x18100 4x2,2GHz,RAM: 768GB,Disk: SSD 2x 480GB + HDD 14x 1.2TB,Radic: RAID1,0,10, 2GB cache,Ethernet: 4x 1Gbps + 2x 10Gb SPF + 2x16Gb FC,GPU: Zdiel.,Vyhotovenie: 4U,OS nezávislý systém manažment,Zaruka: 5+NBD</t>
  </si>
  <si>
    <t>Typ: Ubiquiti UniFi AP AC PRO,Urcenie: interiér,LAN: 1x1Gbps,Pasma: 2,4+5GHz,Rychl.: 450Mbps + 1300MBps,Normy: 802.11ac + PoE + MIMO 3x3/2x2,Roaming: áno,Max. SSID: 8,Zaruka: neuvedené</t>
  </si>
  <si>
    <t>Typ: HP ProBook 430 G6,Proc.: 4-jadro passmark 7600,RAM: 8GB,Disk: SSD NVMe 256GB,VGA: zdiel.,Disp: FHD,OS: Win10Pro, podsv. klávesnica,TPM,bez dokovacej stanice,Zaruka: 3</t>
  </si>
  <si>
    <t>Typ: HP ProBook 450 G5,Proc.: 2-jadro passmark 5000,RAM: 8GB,Disk: SSD NVMe 256GB,VGA: zdiel.,Disp: FHD,OS: Win10Pro,podsv. klávesnica,TPM,bez dokovacej stanice,Zaruka: 3</t>
  </si>
  <si>
    <t>Typ: Samsung Galaxy Tab A 10.5,Proc.: 8-jadro 1.8GHz,RAM: 3GB,Disk: CF 32GB,Disp.: 1920x1200,OS: Android,Fotoaparat 2x,bluetooth,wifi,gps,4g/lte,Zaruka: 3</t>
  </si>
  <si>
    <t>Typ: HP Z2 G4,Proc: 6-jadro passmark 15100,RAM: 16GB,Disk: HDD 1TB,VGA: zdiel,OS: Win10Pro,klávesnica,myš,DVD,Zaruka: 3</t>
  </si>
  <si>
    <t>Typ: HP Z2 G4,Proc: 4-jadro passmark 12300,RAM: 16GB,Disk: SSD NVMe 256GB,VGA: zdiel,OS: Win10Pro,klávesnica,myš,DVD,Zaruka: 3</t>
  </si>
  <si>
    <t>Typ: HP Z2 G4,Proc: 10-jadro passmark 21800,RAM: 16GB,Disk: SSD NVMe 512GB,VGA: zdiel,OS: Win10Pro,klávesnica,myš,DVD,Zaruka: 3</t>
  </si>
  <si>
    <t>Typ: HP Color LaserJet Pro MFP M377dw,Technologia: laser,Farba: áno,Formaty: A4,Rozhrania: USB, ethernet, wifi, airprint,RAM: 256MB,Pam. karta: 256MB,Zasobnik: 850,R. tlace: 600dpi,R. kopirky: 1200dpi,R. skenera: 1200dpi,Duplex: áno,Zaruka: neuvedené</t>
  </si>
  <si>
    <t>Typ: OKI ES5473dnv,Technologia: led,Farba: áno,Formaty: A3,Rozhrania: USB, ethernet, wifi, airprint,RAM: 1,26GB,Pam. karta: HDD 250GB,Zasobnik: 1900,R. tlace: 1200x600dpi,R. kopirky: 600dpi,R. skenera: 600dpi,Duplex: áno,Zaruka: 3</t>
  </si>
  <si>
    <t>Typ: HP Designjet T520, 24",Technologia: termálna atramentová,Farba: áno,Formaty: A1,Rozhrania: USB, ethernet, wifi,RAM: 1000MB,Pam. karta: nie,Zasobnik: automatická rezačka,Rozlisenie: 2400x1200dpi,Zaruka: neuvedené</t>
  </si>
  <si>
    <t>Typ: HP Designjet T520, 36",Technologia: termálna atramentová,Farba: áno,Formaty: A0,Rozhrania: USB, ethernet, wifi,RAM: 1000MB,Pam. karta: nie,Zasobnik: automatická rezačka,Rozlisenie: 2400x1200dpi,Zaruka: neuvedené</t>
  </si>
  <si>
    <t>Typ: Seagate Backup Plus Ultra,Vyhot.: externý,Kapacita: 1TB,Rozmer: 2,5",Druh: HDD5400,Rozhranie: USB 3.0,Cache: 8MB,Zaruka: neuvedené</t>
  </si>
  <si>
    <t>Typ: Seagate Backup Plus Ultra,Vyhot.: externý,Kapacita: 2TB,Rozmer: 2,5",Druh: HDD5400,Rozhranie: USB 3.0,Cache: 8MB,Zaruka: neuvedené</t>
  </si>
  <si>
    <t>Typ: Seagate Backup Plus Ultra,Vyhot.: externý,Kapacita: 5TB,Rozmer: 2,5",Druh: HDD5400,Rozhranie: USB 3.0,Cache: 8MB,Zaruka: neuvedené</t>
  </si>
  <si>
    <t>Typ: Seagate Barracuda,Vyhot.: interný,Kapacita: 1TB,Rozmer: 3,5",Druh: HDD7200,Rozhranie: SATA III,Cache: 64MB,Zaruka: neuvedené</t>
  </si>
  <si>
    <t>Typ: Intel SSD 545s Series,Vyhot.: interný,Kapacita: 1024GB,Rozmer: 2,5",Druh: SSD,Rozhranie: SATA 6Gb/s,Cache: bez,Zaruka: neuvedené</t>
  </si>
  <si>
    <t>Typ: Synology DiskStation DS418play,Technol.: SATA/iSCSI,Radic: RAID0-10,Cache: 4GB RAM,Disky: 4x HDD Toshiba NAS N300 6TB,Porty: 4 SATA,Vyhotovenie: na stôl,2x1Gb LAN,vzdialený prístup,Zaruka: 3 roky</t>
  </si>
  <si>
    <t>Typ: Synology DiskStation DS1819+,Technol.: SATA/iSCSI,Radic: RAID0-10,Cache: 4GB RAM,Disky: 8x HDD Toshiba NAS N300 6TB,Porty: 8 SATA,Vyhotovenie: na stôl,4x1Gb LAN,vzdialený prístup, Zaruka: 3 roky</t>
  </si>
  <si>
    <t>Typ: Synology DiskStation RS3617xs+,Technol.: SATA/iSCSI,Radic: RAID0-10,Cache: 24GB RAM,Disky: 2x Intel SSD 960GB, 10x HDD Toshiba NAS N300 6TB,Porty: 12 SATA,Vyhotovenie: rackmount,4x1Gb + 2x10Gb LAN,vzdialený prístup,Zaruka: 5</t>
  </si>
  <si>
    <t>Typ: HP MSA2052,Technol.: iSCSI/FC,Radic: 2xRAID0-10,Cache: 2x800GB SSD,Disky: 24x 1.8TB HDD 10000RPM + 12x 4TB HDD,Porty: 12 SATA,Vyhotovenie: rackmount,4x1Gb + 2x10Gb LAN,vzdialený prístup,Zaruka:5+4HOD</t>
  </si>
  <si>
    <t>Typ: HPE Proliant Microserver Gen10,Proc: CPU 4-core,6-gcore 3,2GHz,RAM: 16GB,Disk: HDD 2x 1TB,Radic: RAID1,0,10,Ethernet: 2x 1Gbps,GPU: Zdiel.,Vyhotovenie: neuvedené,OS nezávislý systém manažment,DVD-RW,Zaruka: 5+NBD</t>
  </si>
  <si>
    <t>Typ: HPE Proliant DL325 Gen10, Proc: 8 jadier,Passmark 11300 2,1GHz,RAM: 32GB,Disk: HDD 2x 300GB,Radic: RAID 2GB cache,Ethernet: 4x 1Gbps + 2x 10Gb SFP + 2x16Gb FC,GPU: Zdiel.,Vyhotovenie: 1U,OS nezávislý systém manažment,Zaruka: 5+NBD</t>
  </si>
  <si>
    <t>Typ: HPE Proliant DL360 Gen10, Proc: 8 jadier,Passmark 10500 1,8GHz,RAM: 128GB,Disk: HDD 2x 300GB,Radic: RAID 2GB cache,Ethernet: 4x 1Gbps + 2x 10Gb SFP + 2x16Gb FC,GPU: Zdiel.,Vyhotovenie: 1U,OS nezávislý systém manažment,Zaruka: 5+NBD</t>
  </si>
  <si>
    <t>Typ: HPE Proliant DL580 Gen10, Proc: 4x14 jadier, Passmark 2x18100 4x2,2GHz,RAM: 768GB,Disk: SSD 2x 480GB + HDD 14x 1.2TB,Radic: RAID 2GB cache,Ethernet: 4x 1Gbps + 2x 10Gb SPF + 2x16Gb FC,GPU: Zdiel.,Vyhotovenie: 4U,OS nezávislý systém manažment,Zaruka: 5+NBD</t>
  </si>
  <si>
    <t>https://crz.gov.sk/zmluva/5359822</t>
  </si>
  <si>
    <t>https://www.crz.gov.sk/data/att/2649193.pdf</t>
  </si>
  <si>
    <t>Typ: ASUS TUF B360M-PLUS GAMING,Format: mATX,Socket: LGA1151,RAMSloty: 2xDDR4,USB: 3.1+6x2.0,Ostatne: LAN, zvuk, 6xSATAIII, 1xNVMe,Zaruka: neuvedené</t>
  </si>
  <si>
    <t>Typ: ASUS PRIME B360M-K,Socket: LGA1151,Format: mATX,RAMSloty: 2xDDR4,USB: 3.1+4x2.0,Ostatne: LAN, zvuk, 6xSATAIII, 1xNVMe,Zaruka: neuvedené</t>
  </si>
  <si>
    <t>Typ: Gigabyte Z390 M Gaming,Socket: LGA1151,Format: mATX,RAMSloty: 4xDDR4,USB: 8x3.1+4x2.0,Ostatne: LAN, zvuk, 6xSATAIII, 2xNVMe,Zaruka: neuvedené</t>
  </si>
  <si>
    <t>Typ: MSI MPG Z390,Socket: LGA1151,Format: ATX,RAMSloty: 4xDDR4 (max. 64GB),USB: 7x3.1+6x2.0,Ostatne: LAN, zvuk, 6xSATAIII, 2xNVMe,Zaruka: neuvedené</t>
  </si>
  <si>
    <t>Typ: ASUS ROG STRIX X299-E GAMING,Socket: LGA2066,Format: mATX,RAMSloty: 2xDDR4,USB: 3.1+6x2.0,Ostatne: LAN, zvuk, 6xSATAIII, 1xNVMe,Zaruka: neuvedené</t>
  </si>
  <si>
    <t>Typ: ASRock AB350M PRO4 R2.0,Socket: AM4,Format: mATX,RAMSloty: 2xDDR4,USB: 3.1+2x2.0,Ostatne: LAN, zvuk, 4xSATAIII, 1xNVMe,Zaruka: neuvedené</t>
  </si>
  <si>
    <t>Typ: ASUS TUF B450-PLUS GAMING,Socket: AM4,Format: mATX,RAMSloty: 2xDDR4,USB: 6x3.1+6x2.0,Ostatne: LAN, zvuk, 6xSATAIII, 1xNVMe,Zaruka: neuvedené</t>
  </si>
  <si>
    <t>Typ: ASUS PRIME B460M-K,Socket: LGA1200,Format: mATX,RAMSloty: 2xDDR4,USB: 4x3.2+4x2.0,Ostatne: LAN, zvuk, 6xSATAIII, 1xNVMe,Zaruka: neuvedené</t>
  </si>
  <si>
    <t>Typ: ASUS PRIME H470M-PLUS,Socket: LGA1200,Format: mATX,RAMSloty: 2xDDR4,USB: 4x3.2+4x2.0,Ostatne: LAN, zvuk, 5xSATAIII, 2xNVMe,Zaruka: neuvedené</t>
  </si>
  <si>
    <t>Typ:MSI MAG Z490 Tomahawk,Socket: LGA1200,Format: ATX,RAMSloty: 4xDDR4 (max. 128GB),USB: 6x3.2+6x2.0,Ostatne: LAN, zvuk, 6xSATAIII, 2xNVMe,Zaruka: neuvedené</t>
  </si>
  <si>
    <t>Typ: ASUS PRIME B550M-K,Socket: AM4,Format: mATX,RAMSloty: 4xDDR4,USB: 6x3.2+4x2.0,Ostatne: LAN, zvuk, 4xSATAIII, 1xNVMe,Zaruka: neuvedené</t>
  </si>
  <si>
    <t>Typ: MSI B450M MORTAR MAX,Socket: AM4,Format: mATX,RAMSloty: 4xDDR4,USB: 4x3.2+2x2.0,Ostatne: LAN, zvuk, 4xSATAIII, 2xNVMe,Zaruka: neuvedené</t>
  </si>
  <si>
    <t>Typ: ASUS ROG STRIX B450-F GAMING,Socket: AM4,Format: ATX,RAMSloty: 4xDDR4 (max. 128MB),USB: 4x3.1,Ostatne: LAN, zvuk, 6xSATAIII, 2xNVMe,Zaruka: neuvedené</t>
  </si>
  <si>
    <t>Typ: Intel i3-7100,Frekv.: 3.9 GHz,Jadra: 2,Vlakna: 4,Passmark: 4267,Zaruka: neuvedené</t>
  </si>
  <si>
    <t>Typ: Intel i3-7300,Frekv.: 4.0 GHz,Jadra: 2,Vlakna: 4,Passmark: 4928,Zaruka: neuvedené</t>
  </si>
  <si>
    <t>Typ: Intel i5-7400,Frekv.: 3.0 GHz,Jadra: 4,Vlakna: 4,Passmark: 5704,Zaruka: neuvedené</t>
  </si>
  <si>
    <t>Typ: Intel i5-7400T,Frekv.: 2.4 GHz,Jadra: 4,Vlakna: 4,Passmark: 4977,Zaruka: neuvedené</t>
  </si>
  <si>
    <t>Typ: Intel i5-7500,Frekv.: 3.4 GHz,Jadra: 4,Vlakna: 4,Passmark: 6333,Zaruka: neuvedené</t>
  </si>
  <si>
    <t>Typ: Intel i5-7600T,Frekv.: 3.7 GHz,Jadra: 4,Vlakna: 4,Passmark: 6253,Zaruka: neuvedené</t>
  </si>
  <si>
    <t>Typ: Intel i7-7700K,Frekv.: 4.2 GHz,Jadra: 4,Vlakna: 8,Passmark: 9931,Zaruka: neuvedené</t>
  </si>
  <si>
    <t>Typ: Intel i3-8100,Frekv.: 3.6 GHz,Jadra: 4,Vlakna: 4,Passmark: 6378,Zaruka: neuvedené</t>
  </si>
  <si>
    <t>Typ: Intel i3-8350K,Frekv.: 4.0 GHz,Jadra: 4,Vlakna: 4,Passmark: 6968,Zaruka: neuvedené</t>
  </si>
  <si>
    <t>Typ: Intel i5-8400,Frekv.: 4.0 GHz,Jadra: 6,Vlakna: 6,Passmark: 9216,Zaruka: neuvedené</t>
  </si>
  <si>
    <t>Typ: Intel i5-8500,Frekv.: 4.1 GHz,Jadra: 6,Vlakna: 6,Passmark: 9576,Zaruka: neuvedené</t>
  </si>
  <si>
    <t>Typ: Intel i5-8600K,Frekv.: 4.3 GHz,Jadra: 6,Vlakna: 6,Passmark: 10327,Zaruka: neuvedené</t>
  </si>
  <si>
    <t>Typ: Intel i7-8700,Frekv.: 3.2 GHz,Jadra: 6,Vlakna: 12,Passmark: 13514,Zaruka: neuvedené</t>
  </si>
  <si>
    <t>Typ: Intel i7-8700K,Frekv.: 3.7 GHz,Jadra: 6,Vlakna: 12,Passmark: 14103,Zaruka: neuvedené</t>
  </si>
  <si>
    <t>Typ: Intel i3-9100,Frekv.: 3.6 GHz,Jadra: 4,Vlakna: 4,Passmark: 6901,Zaruka: neuvedené</t>
  </si>
  <si>
    <t>Typ: Intel i5-9500,Frekv.: 3.0 GHz,Jadra: 6,Vlakna: 6,Passmark: 9417,Zaruka: neuvedené</t>
  </si>
  <si>
    <t>Typ: Intel i5-9400,Frekv.: 2.9 GHz,Jadra: 6,Vlakna: 6,Passmark: 9422,Zaruka: neuvedené</t>
  </si>
  <si>
    <t>Typ: Intel i5-9600K,Frekv.: 3.7 GHz,Jadra: 6,Vlakna: 6,Passmark: 11262,Zaruka: neuvedené</t>
  </si>
  <si>
    <t>Typ: Intel i7-9700,Frekv.: 3.0 GHz,Jadra: 8,Vlakna: 8,Passmark: 14556,Zaruka: neuvedené</t>
  </si>
  <si>
    <t>Typ: Intel i7-9700K,Frekv.: 3.6 GHz,Jadra: 8,Vlakna: 8,Passmark: 14884,Zaruka: neuvedené</t>
  </si>
  <si>
    <t>Typ: Intel i9-9900,Frekv.: 3.1 GHz,Jadra: 8,Vlakna: 16,Passmark: 17332,Zaruka: neuvedené</t>
  </si>
  <si>
    <t>Typ: Intel i9-9900K,Frekv.: 3.6 GHz,Jadra: 8,Vlakna: 16,Passmark: 19037,Zaruka: neuvedené</t>
  </si>
  <si>
    <t>Typ: Intel Pentium G5600,Frekv.: 3.9 GHz,Jadra: 2,Vlakna: 4,Passmark: 3757,Zaruka: neuvedené</t>
  </si>
  <si>
    <t>Typ: Intel Xeon E3-1280 v6,Frekv.: 3.9 GHz,Jadra: 4,Vlakna: 8,Passmark: 8886,Zaruka: neuvedené</t>
  </si>
  <si>
    <t>Typ: Intel Xeon E5-2620 v4,Frekv.: 3.0 GHz,Jadra: 8,Vlakna: 16,Passmark: 8684,Zaruka: neuvedené</t>
  </si>
  <si>
    <t>Typ: AMD Athlon 200GE,Frekv.: 3.2 GHz,Jadra: 2,Vlakna: 4,Passmark: 4262,Zaruka: neuvedené</t>
  </si>
  <si>
    <t>Typ: AMD Athlon 3000G,Frekv.: 3.5 GHz,Jadra: 2,Vlakna: 4,Passmark: 4676,Zaruka: neuvedené</t>
  </si>
  <si>
    <t>Typ: AMD Athlon 240GE,Frekv.: 3.5 GHz,Jadra: 2,Vlakna: 4,Passmark: 4768,Zaruka: neuvedené</t>
  </si>
  <si>
    <t>Typ: AMD Ryzen 3 2200G,Frekv.: 3.5 GHz,Jadra: 4,Vlakna: 4,Passmark: 6823,Zaruka: neuvedené</t>
  </si>
  <si>
    <t>Typ: AMD Ryzen 3 3200G,Frekv.: 3.6 GHz,Jadra: 4,Vlakna: 4,Passmark: 7281,Zaruka: neuvedené</t>
  </si>
  <si>
    <t>Typ: AMD Ryzen 5 2400G,Frekv.: 3.6 GHz,Jadra: 4,Vlakna: 8,Passmark: 9081,Zaruka: neuvedené</t>
  </si>
  <si>
    <t>Typ: AMD Ryzen 5 3400G,Frekv.: 3.7 GHz,Jadra: 4,Vlakna: 8,Passmark: 9558,Zaruka: neuvedené</t>
  </si>
  <si>
    <t>Typ: AMD Ryzen 9 3900X,Frekv.: 3.8 GHz,Jadra: 12,Vlakna: 24,Passmark: 32881,Zaruka: neuvedené</t>
  </si>
  <si>
    <t>Typ: Intel i9-10900X,Frekv.: 3.7 GHz,Jadra: 10,Vlakna: 20,Passmark: 22349,Zaruka: neuvedené</t>
  </si>
  <si>
    <t>Typ: AMD EPYC Model 7351,Frekv.: 2.4 GHz,Jadra: 16,Vlakna: 32,Passmark: 19180,Zaruka: neuvedené</t>
  </si>
  <si>
    <t>Typ: Intel i3-10100,Frekv.: 3.6 GHz,Jadra: 4,Vlakna: 8,Passmark: 8986,Zaruka: neuvedené</t>
  </si>
  <si>
    <t>Typ: Intel i3-10300,Frekv.: 3.7 GHz,Jadra: 4,Vlakna: 8,Passmark: 9381,Zaruka: neuvedené</t>
  </si>
  <si>
    <t>Typ: Intel i5-10400F,Frekv.: 2.9 GHz,Jadra: 6,Vlakna: 12,Passmark: 12692,Zaruka: neuvedené</t>
  </si>
  <si>
    <t>Typ: Intel i5-10400,Frekv.: 2.9 GHz,Jadra: 6,Vlakna: 12,Passmark: 12853,Zaruka: neuvedené</t>
  </si>
  <si>
    <t>Typ: Intel i5-10500,Frekv.: 3.1 GHz,Jadra: 6,Vlakna: 12,Passmark: 13409,Zaruka: neuvedené</t>
  </si>
  <si>
    <t>Typ: Intel i5-10600,Frekv.: 3.3 GHz,Jadra: 6,Vlakna: 12,Passmark: 14209,Zaruka: neuvedené</t>
  </si>
  <si>
    <t>Typ: Intel i5-10600KF,Frekv.: 4.1 GHz,Jadra: 6,Vlakna: 12,Passmark: 15369,Zaruka: neuvedené</t>
  </si>
  <si>
    <t>Typ: Intel i5-10600K,Frekv.: 4.1 GHz,Jadra: 6,Vlakna: 12,Passmark: 14515,Zaruka: neuvedené</t>
  </si>
  <si>
    <t>Typ: Intel i7-10700F,Frekv.: 2.9 GHz,Jadra: 8,Vlakna: 16,Passmark: 16681,Zaruka: neuvedené</t>
  </si>
  <si>
    <t>Typ: Intel i7-10700,Frekv.: 2.9 GHz,Jadra: 8,Vlakna: 16,Passmark: 17605,Zaruka: neuvedené</t>
  </si>
  <si>
    <t>Typ: Intel i7-10700KF,Frekv.: 3.8 GHz,Jadra: 8,Vlakna: 16,Passmark: 19493,Zaruka: neuvedené</t>
  </si>
  <si>
    <t>Typ: Intel i7-10700K,Frekv.: 3.8 GHz,Jadra: 8,Vlakna: 16,Passmark: 19649,Zaruka: neuvedené</t>
  </si>
  <si>
    <t>Typ: Intel i9-10900F,Frekv.: 2.8 GHz,Jadra: 10,Vlakna: 20,Passmark: 21922,Zaruka: neuvedené</t>
  </si>
  <si>
    <t>Typ: Intel i9-10900,Frekv.: 2.8 GHz,Jadra: 10,Vlakna: 20,Passmark: 21523,Zaruka: neuvedené</t>
  </si>
  <si>
    <t>Typ: Intel i9-10900KF,Frekv.: 3.7 GHz,Jadra: 10,Vlakna: 20,Passmark: 23704,Zaruka: neuvedené</t>
  </si>
  <si>
    <t>Typ: Intel i9-10900K,Frekv.: 3.7 GHz,Jadra: 10,Vlakna: 20,Passmark: 24048,Zaruka: neuvedené</t>
  </si>
  <si>
    <t>Typ: AMD Ryzen 3 3300X,Frekv.: 3.8 GHz,Jadra: 4,Vlakna: 8,Passmark: 12816,Zaruka: neuvedené</t>
  </si>
  <si>
    <t>Typ: AMD Ryzen 5 3600,Frekv.: 3.6 GHz,Jadra: 6,Vlakna: 12,Passmark: 17849,Zaruka: neuvedené</t>
  </si>
  <si>
    <t>Typ: AMD Ryzen 5 3600X,Frekv.: 3.8 GHz,Jadra: 6,Vlakna: 12,Passmark: 18249,Zaruka: neuvedené</t>
  </si>
  <si>
    <t>Typ: AMD Ryzen 5 3600XT,Frekv.: 3.8 GHz,Jadra: 6,Vlakna: 12,Passmark: 19026,Zaruka: neuvedené</t>
  </si>
  <si>
    <t>Typ: AMD Ryzen 7 3700X,Frekv.: 3.6 GHz,Jadra: 8,Vlakna: 16,Passmark: 22781,Zaruka: neuvedené</t>
  </si>
  <si>
    <t>Typ: AMD Ryzen 7 3800X,Frekv.: 3.9 GHz,Jadra: 8,Vlakna: 16,Passmark: 23324,Zaruka: neuvedené</t>
  </si>
  <si>
    <t>Typ: AMD Ryzen 9 3900XT,Frekv.: 3.8 GHz,Jadra: 12,Vlakna: 24,Passmark: 33298,Zaruka: neuvedené</t>
  </si>
  <si>
    <t>Typ: AMD Ryzen 9 3950X,Frekv.: 3.5 GHz,Jadra: 16,Vlakna: 32,Passmark: 39229,Zaruka: neuvedené</t>
  </si>
  <si>
    <t>Typ: SilentiumPC Fera 3 HE1224 v2,Patice: 1151, 2011, A4, Hlucnost: 19dB, Zaruka: neuvedené</t>
  </si>
  <si>
    <t>Typ: Be quiet! Dard Rock 4,Patice: 2066, Hlucnost: 22dB, Zaruka: neuvedené</t>
  </si>
  <si>
    <t>Typ: MSI NVIDIA GT 710 1GD3H,Proc.: Passmark 637,RAM: 1GB GDDR3,Frekv. Jadra/RAM: 954 MHz/1253 MHz,Zbernica: PCIe x16 2.0,Vystupy: VGA, DVI, HDMI,Zaruka: neuvedené</t>
  </si>
  <si>
    <t>Typ: PALIT GeForce GT 710 2GB SDDR3,Proc.: Passmark 637,RAM: 2GB DDR3,Frekv. Jadra/RAM: 954 MHz/1253 MHz,Zbernica: PCIe x16 2.0,Vystupy: VGA, DVI, HDMI,Zaruka: neuvedené</t>
  </si>
  <si>
    <t>Typ: Gigabyte GV-N1030SL-2GL,Proc.: Passmark 2547,RAM: 2GB GDDR5,Frekv. Jadra/RAM: 1227 MHz/1502 MHz,Zbernica: PCIe x16 3.0,Vystupy: DVI, HDMI,Zaruka: neuvedené</t>
  </si>
  <si>
    <t>Typ: Gigabyte GeForce GTX 1060 OC 3GB GDDR5,Proc.: Passmark 9727,RAM: 3GB GDDR5,Frekv. Jadra/RAM: 1556 MHz/2002 MHz,Zbernica: PCIe x16 3.0,Vystupy: DP, DVI, HDMI,Zaruka: neuvedené</t>
  </si>
  <si>
    <t>Typ: ASUS EX-RX570-4G 4GB/256-bit GDDR5,Proc.: Passmark 1923,RAM: 4GB GDDR5,Frekv. Jadra/RAM: 1254 MHz/1750 MHz,Zbernica: PCIe x16 3.0,Vystupy: DP, DVI, HDMI,Zaruka: neuvedené</t>
  </si>
  <si>
    <t>Typ: j5create JUA350 - externá,Proc.: neuvedený,RAM: neuvedená,Frekv. Jadra/RAM: neuvedená/neuvedená,Zbernica: USB 3.0,Vystupy: HDMI,Zaruka: neuvedené</t>
  </si>
  <si>
    <t>Typ: GEMBIRD USB 3.0/1Gbit LAN NIC-U3-02,Rozhranie: USB,Rychlost: 1Gbps,Zaruka: neuvedené</t>
  </si>
  <si>
    <t>Typ: Apple Thunderbolt to Gigabit Ethernet Adapter,Rozhranie: Apple Thunderbolt,Rychlost: 1Gbps,Zaruka: neuvedené</t>
  </si>
  <si>
    <t>Typ: AXAGON ADE-SRC,Rozhranie: USB-C,Rychlost: 1Gbps,Zaruka: neuvedené</t>
  </si>
  <si>
    <t>Typ: TP-LINK TG-3468,Rozhranie: PCIe x1,Rychlost: 1Gbps,Zaruka: neuvedené</t>
  </si>
  <si>
    <t>Typ: Mellanox ConnectX-3 EN network interface card,Rozhranie: PCIe 3.0 x8,Rychlost: 10Gbps,Zaruka: neuvedené</t>
  </si>
  <si>
    <t>Typ: Intel 10 Gigabit X550T2,Rozhranie: PCIe 3.0 x8,Rychlost: 10Gbps,Zaruka: neuvedené</t>
  </si>
  <si>
    <t>Typ: Edimax 32-bit Gigabit LAN Card,Rozhranie: PCI,Rychlost: 1Gbps,Zaruka: neuvedené</t>
  </si>
  <si>
    <t>Typ: CREATIVE Sound Blaster X-Fi Surround 5.1 PRO V3 / 5.1/ USB,Rozhranie: USB 2.0,Kanaly: 5.1,Zaruka: neuvedené</t>
  </si>
  <si>
    <t>Typ: AXAGON ADA-71, USB2.0 - 7.1 audio SOUNDbox,Rozhranie: USB 2.0,Kanaly: 7.1,Zaruka: neuvedené</t>
  </si>
  <si>
    <t>Typ: i-tec PCIe Card USB 3.0 2x External+1x int. 20pin,Rozhranie: PCIe,Porty: 4x USB 3.0,Zaruka: neuvedené</t>
  </si>
  <si>
    <t>Typ: Patriot SL CL9 8x512,Druh: DIMM,Kapacita: 4GB,Generacia: DDR3,Frekv.: 1333MHz,Zaruka: neuvedené</t>
  </si>
  <si>
    <t>Typ: Patriot SL CL9 8x512 + chladič,Druh: DIMM,Kapacita: 4GB,Generacia: DDR3,Frekv.: 1333MHz,Zaruka: neuvedené</t>
  </si>
  <si>
    <t>Typ: Patriot SL CL9,Druh: DIMM,Kapacita: 8GB,Generacia: DDR3,Frekv.: 1333MHz,Zaruka: neuvedené</t>
  </si>
  <si>
    <t>Typ: Patriot SL CL9 + chladič,Druh: DIMM,Kapacita: 8GB,Generacia: DDR3,Frekv.: 1333MHz,Zaruka: neuvedené</t>
  </si>
  <si>
    <t>Typ: HPE DDR3,Druh: DIMM,Kapacita: 16GB,Generacia: DDR3,Frekv.: 1333MHz,Zaruka: neuvedené</t>
  </si>
  <si>
    <t>Typ: Patriot SL CL11 8x512,Druh: DIMM,Kapacita: 4GB,Generacia: DDR3,Frekv.: 1600MHz,Zaruka: neuvedené</t>
  </si>
  <si>
    <t>Typ: Patriot SL CL11 8x512 + chladič,Druh: DIMM,Kapacita: 4GB,Generacia: DDR3,Frekv.: 1600MHz,Zaruka: neuvedené</t>
  </si>
  <si>
    <t>Typ: Apacer CL11,Druh: DIMM,Kapacita: 8GB,Generacia: DDR3,Frekv.: 1600MHz,Zaruka: neuvedené</t>
  </si>
  <si>
    <t>Typ: Corsair XMS3 CL11 + chladič,Druh: DIMM,Kapacita: 8GB,Generacia: DDR3,Frekv.: 1600MHz,Zaruka: neuvedené</t>
  </si>
  <si>
    <t>Typ: Patriot CL9,Druh: DIMM,Kapacita: 8GB,Generacia: DDR3,Frekv.: 1600MHz,Zaruka: neuvedené</t>
  </si>
  <si>
    <t>Typ: Patriot CL9 + chladič,Druh: DIMM,Kapacita: 8GB,Generacia: DDR3,Frekv.: 1600MHz,Zaruka: neuvedené</t>
  </si>
  <si>
    <t>Typ: Adata CL9 2x8GB,Druh: DIMM,Kapacita: 16GB,Generacia: DDR3,Frekv.: 1333MHz,Zaruka: neuvedené</t>
  </si>
  <si>
    <t>Typ: Patriot G2 Division + chladič,Druh: DIMM,Kapacita: 16GB,Generacia: DDR3,Frekv.: 1333MHz,Zaruka: neuvedené</t>
  </si>
  <si>
    <t>Typ: Kingston CL9 STD,Druh: DIMM,Kapacita: 32GB,Generacia: DDR3,Frekv.: 1333MHz,Zaruka: neuvedené</t>
  </si>
  <si>
    <t>Typ: Patriot CL17 SR 512x8,Druh: DIMM,Kapacita: 4GB,Generacia: DDR4,Frekv.: 2400MHz,Zaruka: neuvedené</t>
  </si>
  <si>
    <t>Typ: Patriot CL17 SR 512x8 + chladič,Druh: DIMM,Kapacita: 4GB,Generacia: DDR4,Frekv.: 2400MHz,Zaruka: neuvedené</t>
  </si>
  <si>
    <t>Typ: Patriot Signature CL17,Druh: DIMM,Kapacita: 8GB,Generacia: DDR4,Frekv.: 2400MHz,Zaruka: neuvedené</t>
  </si>
  <si>
    <t>Typ: Patriot Signature CL17 + chladič,Druh: DIMM,Kapacita: 8GB,Generacia: DDR4,Frekv.: 2400MHz,Zaruka: neuvedené</t>
  </si>
  <si>
    <t>Typ: Transcend 1Rx8 CL19,Druh: DIMM,Kapacita: 16GB,Generacia: DDR4,Frekv.: 2666MHz,Zaruka: neuvedené</t>
  </si>
  <si>
    <t>Typ: Patriot CL17 + chladič,Druh: DIMM,Kapacita: 16GB,Generacia: DDR4,Frekv.: 2400MHz,Zaruka: neuvedené</t>
  </si>
  <si>
    <t>Typ: Patriot CL17,Druh: DIMM kit,Kapacita: 2x4GB,Generacia: DDR4,Frekv.: 2400MHz,Zaruka: neuvedené</t>
  </si>
  <si>
    <t>Typ: Patriot CL17 + chladič,Druh: DIMM kit,Kapacita: 2x4GB,Generacia: DDR4,Frekv.: 2666MHz,Zaruka: neuvedené</t>
  </si>
  <si>
    <t>Typ: Patriot Signature CL17,Druh: DIMM kit,Kapacita: 2x8GB,Generacia: DDR4,Frekv.: 2400MHz,Zaruka: neuvedené</t>
  </si>
  <si>
    <t>Typ: Patriot CL17 + chladič,Druh: DIMM kit,Kapacita: 2x8GB,Generacia: DDR4,Frekv.: 2400MHz,Zaruka: neuvedené</t>
  </si>
  <si>
    <t>Typ: Adata XPG Gammix D10 CL16 + chladič,Druh: DIMM kit,Kapacita: 2x16GB,Generacia: DDR4,Frekv.: 2666MHz,Zaruka: neuvedené</t>
  </si>
  <si>
    <t>Typ: Patriot V4S CL16 + chladič,Druh: DIMM kit,Kapacita: 2x32GB,Generacia: DDR4,Frekv.: 3000MHz,Zaruka: neuvedené</t>
  </si>
  <si>
    <t>Typ: Silicon Power CL11,Druh: SO-DIMM,Kapacita: 4GB,Generacia: DDR3,Frekv.: 1600MHz,Zaruka: neuvedené</t>
  </si>
  <si>
    <t>Typ: Patriot CL9,Druh: SO-DIMM,Kapacita: 8GB,Generacia: DDR3,Frekv.: 1600MHz,Zaruka: neuvedené</t>
  </si>
  <si>
    <t>Typ: Crucial CL11,Druh: SO-DIMM,Kapacita: 16GB,Generacia: DDR3,Frekv.: 1600MHz,Zaruka: neuvedené</t>
  </si>
  <si>
    <t>Typ: Kingston CL9 SRx8,Druh: SO-DIMM kit,Kapacita: 2x4GB,Generacia: DDR3,Frekv.: 1333MHz,Zaruka: neuvedené</t>
  </si>
  <si>
    <t>Typ: Kingston CL11,Druh: SO-DIMM kit,Kapacita: 2x8GB,Generacia: DDR3,Frekv.: 1600MHz,Zaruka: neuvedené</t>
  </si>
  <si>
    <t>Typ: Kingston HyperC FURY CL10,Druh: SO-DIMM kit,Kapacita: 2x8GB,Generacia: DDR3,Frekv.: 1600MHz,Zaruka: neuvedené</t>
  </si>
  <si>
    <t>Typ: Patriot CL17,Druh: SO-DIMM,Kapacita: 4GB,Generacia: DDR4,Frekv.: 2400MHz,Zaruka: neuvedené</t>
  </si>
  <si>
    <t>Typ: Patriot CL17,Druh: SO-DIMM,Kapacita: 8GB,Generacia: DDR4,Frekv.: 2400MHz,Zaruka: neuvedené</t>
  </si>
  <si>
    <t>Typ: Adata CL19,Druh: SO-DIMM,Kapacita: 16GB,Generacia: DDR4,Frekv.: 2666MHz,Zaruka: neuvedené</t>
  </si>
  <si>
    <t>Typ: Kingston HyperX Imp.,Druh: SO-DIMM kit,Kapacita: 2x4GB,Generacia: DDR4,Frekv.: 2400MHz,Zaruka: neuvedené</t>
  </si>
  <si>
    <t>Typ: Crucial MICRON,Druh: SO-DIMM kit,Kapacita: 2x8GB,Generacia: DDR4,Frekv.: 2666MHz,Zaruka: neuvedené</t>
  </si>
  <si>
    <t>Typ: Crucial MICRON,Druh: SO-DIMM kit,Kapacita: 2x16GB,Generacia: DDR4,Frekv.: 2666MHz,Zaruka: neuvedené</t>
  </si>
  <si>
    <t>Typ: Crucial Server DRx4 ECC,Druh: Server DIMM,Kapacita: 32GB,Generacia: DDR4,Frekv.: 2933MHz,Zaruka: neuvedené</t>
  </si>
  <si>
    <t>Typ: Verbatim Vi550,Vyhot.: interný,Kapacita: 128GB,Rozmer: 2,5",Druh: SSD,Rozhranie: SATA 6Gb/s,Cache: bez,Zaruka: neuvedené</t>
  </si>
  <si>
    <t>Typ: Apacer AS350 Panther,Vyhot.: interný,Kapacita: 120GB,Rozmer: 2,5",Druh: SSD,Rozhranie: SATA 6Gb/s,Cache: bez,Zaruka: neuvedené</t>
  </si>
  <si>
    <t>Typ: Samsung 560 EVO,Vyhot.: interný,Kapacita: 250GB,Rozmer: 2,5",Druh: SSD,Rozhranie: SATA 6Gb/s,Cache: bez,Zaruka: neuvedené</t>
  </si>
  <si>
    <t>Typ: Adata SU800,Vyhot.: interný,Kapacita: 256GB,Rozmer: 2,5",Druh: SSD,Rozhranie: SATA 6Gb/s,Cache: bez,Zaruka: neuvedené</t>
  </si>
  <si>
    <t>Typ: Apacer AS350 Panther,Vyhot.: interný,Kapacita: 256GB,Rozmer: 2,5",Druh: SSD,Rozhranie: SATA 6Gb/s,Cache: bez,Zaruka: neuvedené</t>
  </si>
  <si>
    <t>Typ: Samsung 860 PRO EVO,Vyhot.: interný,Kapacita: 250GB,Rozmer: 2,5",Druh: SSD,Rozhranie: SATA 6Gb/s,Cache: bez,Zaruka: neuvedené</t>
  </si>
  <si>
    <t>Typ: Seagate Barracuda,Vyhot.: interný,Kapacita: 500GB,Rozmer: 2,5",Druh: SSD,Rozhranie: SATA 6Gb/s,Cache: bez,Zaruka: neuvedené</t>
  </si>
  <si>
    <t>Typ: Adata SU800,Vyhot.: interný,Kapacita: 512GB,Rozmer: 2,5",Druh: SSD,Rozhranie: SATA 6Gb/s,Cache: bez,Zaruka: neuvedené</t>
  </si>
  <si>
    <t>Typ: Adata SU900,Vyhot.: interný,Kapacita: 512GB,Rozmer: 2,5",Druh: SSD,Rozhranie: SATA 6Gb/s,Cache: bez,Zaruka: neuvedené</t>
  </si>
  <si>
    <t>Typ: Samsung 860 EVO PRO,Vyhot.: interný,Kapacita: 512GB,Rozmer: 2,5",Druh: SSD,Rozhranie: SATA 6Gb/s,Cache: bez,Zaruka: neuvedené</t>
  </si>
  <si>
    <t>Typ: Apacer AS350 Panther,Vyhot.: interný,Kapacita: 512GB,Rozmer: 2,5",Druh: SSD,Rozhranie: SATA 6Gb/s,Cache: bez,Zaruka: neuvedené</t>
  </si>
  <si>
    <t>Typ: Samsung 860 EVO Series,Vyhot.: interný,Kapacita: 1TB,Rozmer: 2,5",Druh: SSD,Rozhranie: SATA 6Gb/s,Cache: bez,Zaruka: neuvedené</t>
  </si>
  <si>
    <t>Typ: Adata SU800,Vyhot.: interný,Kapacita: 1TB,Rozmer: 2,5",Druh: SSD,Rozhranie: SATA 6Gb/s,Cache: bez,Zaruka: neuvedené</t>
  </si>
  <si>
    <t>Typ: WD Red SA500 NAS SSD NAND,Vyhot.: interný,Kapacita: 1TB,Rozmer: 2,5",Druh: SSD,Rozhranie: SATA 6Gb/s,Cache: bez,Zaruka: neuvedené</t>
  </si>
  <si>
    <t>Typ: Apacer AS350 Panther,Vyhot.: interný,Kapacita: 1TB,Rozmer: 2,5",Druh: SSD,Rozhranie: SATA 6Gb/s,Cache: bez,Zaruka: neuvedené</t>
  </si>
  <si>
    <t>Typ: Seagate Barracuda,Vyhot.: interný,Kapacita: 500GB,Rozmer: 3,5",Druh: HDD7200,Rozhranie: SATA 6Gb/s,Cache: 32MB,Zaruka: neuvedené</t>
  </si>
  <si>
    <t>Typ: Toshiba Desktop P300,Vyhot.: interný,Kapacita: 500GB,Rozmer: 3,5",Druh: HDD7200,Rozhranie: SATA 6Gb/s,Cache: 64MB,Zaruka: neuvedené</t>
  </si>
  <si>
    <t>Typ: WD Caviar Black,Vyhot.: interný,Kapacita: 500GB,Rozmer: 3,5",Druh: HDD7200,Rozhranie: SATA 6Gb/s,Cache: 64MB,Zaruka: neuvedené</t>
  </si>
  <si>
    <t>Typ: WD Blue,Vyhot.: interný,Kapacita: 500GB,Rozmer: 3,5",Druh: HDD5400,Rozhranie: SATA 6Gb/s,Cache: 64MB,Zaruka: neuvedené</t>
  </si>
  <si>
    <t>Typ: Toshiba Desktop P300,Vyhot.: interný,Kapacita: 1TB,Rozmer: 3,5",Druh: HDD7200,Rozhranie: SATA 6Gb/s,Cache: 64MB,Zaruka: neuvedené</t>
  </si>
  <si>
    <t>Typ: Seagate Barracuda,Vyhot.: interný,Kapacita: 1TB,Rozmer: 3,5",Druh: HDD7200,Rozhranie: SATA 6Gb/s,Cache: 64MB,Zaruka: neuvedené</t>
  </si>
  <si>
    <t>Typ: WD Blue,Vyhot.: interný,Kapacita: 1TB,Rozmer: 3,5",Druh: HDD7200,Rozhranie: SATA 6Gb/s,Cache: 64MB,Zaruka: neuvedené</t>
  </si>
  <si>
    <t>Typ: WD Blue,Vyhot.: interný,Kapacita: 1TB,Rozmer: 3,5",Druh: HDD5400,Rozhranie: SATA 6Gb/s,Cache: 64MB,Zaruka: neuvedené</t>
  </si>
  <si>
    <t>Typ: WD Purple,Vyhot.: interný,Kapacita: 2TB,Rozmer: 3,5",Druh: HDD5400,Rozhranie: SATA 6Gb/s,Cache: 64MB,Zaruka: neuvedené</t>
  </si>
  <si>
    <t>Typ: Toshiba Desktop P300,Vyhot.: interný,Kapacita: 2TB,Rozmer: 3,5",Druh: HDD7200,Rozhranie: SATA 6Gb/s,Cache: 64MB,Zaruka: neuvedené</t>
  </si>
  <si>
    <t>Typ: WD Gold,Vyhot.: interný,Kapacita: 2TB,Rozmer: 3,5",Druh: HDD7200,Rozhranie: SATA 6Gb/s,Cache: 128MB,Zaruka: neuvedené</t>
  </si>
  <si>
    <t>Typ: Seagate Barracuda,Vyhot.: interný,Kapacita: 2TB,Rozmer: 3,5",Druh: HDD7200,Rozhranie: SATA 6Gb/s,Cache: 256MB,Zaruka: neuvedené</t>
  </si>
  <si>
    <t>Typ: WD Purple,Vyhot.: interný,Kapacita: 6TB,Rozmer: 3,5",Druh: HDD5400,Rozhranie: SATA 6Gb/s,Cache: 64MB,Zaruka: neuvedené</t>
  </si>
  <si>
    <t>Typ: Seagate Barracuda,Vyhot.: interný,Kapacita: 6TB,Rozmer: 3,5",Druh: HDD5400,Rozhranie: SATA 6Gb/s,Cache: 256MB,Zaruka: neuvedené</t>
  </si>
  <si>
    <t>Typ: WD Purple,Vyhot.: interný,Kapacita: 10TB,Rozmer: 3,5",Druh: HDD5400,Rozhranie: SATA 6Gb/s,Cache: 256MB,Zaruka: neuvedené</t>
  </si>
  <si>
    <t>Typ: Transcend MTE510T,Vyhot.: interný,Kapacita: 128GB,Rozmer: karta,Druh: SSD,Rozhranie: NVMe,Cache: bez,Zaruka: neuvedené</t>
  </si>
  <si>
    <t>Typ: Samsung 970 EVO Plus,Vyhot.: interný,Kapacita: 250GB,Rozmer: karta,Druh: SSD,Rozhranie: NVMe,Cache: bez,Zaruka: neuvedené</t>
  </si>
  <si>
    <t>Typ: Adata XPG SX8200 PRO,Vyhot.: interný,Kapacita: 512GB,Rozmer: karta,Druh: SSD,Rozhranie: NVMe,Cache: bez,Zaruka: neuvedené</t>
  </si>
  <si>
    <t>Typ: WD Blue NAND WDS100T2BOB,Vyhot.: interný,Kapacita: 1TB,Rozmer: karta,Druh: SSD,Rozhranie: NVMe,Cache: bez,Zaruka: neuvedené</t>
  </si>
  <si>
    <t>Typ: Samsung 860 EVO,Vyhot.: interný,Kapacita: 2TB,Rozmer: karta,Druh: SSD,Rozhranie: NVMe,Cache: bez,Zaruka: neuvedené</t>
  </si>
  <si>
    <t>Typ: Kingston UV500,Vyhot.: interný,Kapacita: 120GB,Rozmer: karta,Druh: SSD,Rozhranie: mSATA,Cache: bez,Zaruka: neuvedené</t>
  </si>
  <si>
    <t>Typ: Transcend MSA370,Vyhot.: interný,Kapacita: 256GB,Rozmer: karta,Druh: SSD,Rozhranie: mSATA,Cache: bez,Zaruka: neuvedené</t>
  </si>
  <si>
    <t>Typ: Kingston UV500,Vyhot.: interný,Kapacita: 480GB,Rozmer: karta,Druh: SSD,Rozhranie: mSATA,Cache: bez,Zaruka: neuvedené</t>
  </si>
  <si>
    <t>Typ: Verbatim Store'n Go,Vyhot.: externý,Kapacita: 500GB,Rozmer: 2.5",Druh: HDD,Rozhranie: USB 3.0,Cache: neuvedené,Zaruka: neuvedené</t>
  </si>
  <si>
    <t>Typ: WD Elements Portable,Vyhot.: externý,Kapacita: 1TB,Rozmer: 2.5",Druh: HDD,Rozhranie: USB 3.0,Cache: neuvedené,Zaruka: neuvedené</t>
  </si>
  <si>
    <t>Typ: Seagate Basic,Vyhot.: externý,Kapacita: 1TB,Rozmer: 2.5",Druh: HDD,Rozhranie: USB 3.0,Cache: neuvedené,Zaruka: neuvedené</t>
  </si>
  <si>
    <t>Typ: Seagate Basic,Vyhot.: externý,Kapacita: 2TB,Rozmer: 2.5",Druh: HDD,Rozhranie: USB 3.0,Cache: neuvedené,Zaruka: neuvedené</t>
  </si>
  <si>
    <t>Typ: Intenso MemoryCenter,Vyhot.: externý,Kapacita: 2TB,Rozmer: 3.5",Druh: HDD,Rozhranie: USB 3.0,Cache: neuvedené,Zaruka: neuvedené</t>
  </si>
  <si>
    <t>Typ: Seagate Expansion Desktop,Vyhot.: externý,Kapacita: 4TB,Rozmer: 3.5",Druh: HDD,Rozhranie: USB 3.0,Cache: neuvedené,Zaruka: neuvedené</t>
  </si>
  <si>
    <t>Typ: Seagate Backup Plus Hub,Vyhot.: externý,Kapacita: 6TB,Rozmer: 3.5",Druh: HDD,Rozhranie: USB 3.0,Cache: neuvedené,Zaruka: neuvedené</t>
  </si>
  <si>
    <t>Typ: Synology DiskStation DS1019+,Technol.: SATA,Radic: RAID0-10,Cache: 8GB RAM,Disky: bez,Porty: 5x SATA 2x NVMe 1xeSATA,Vyhotovenie: na stôl,2x1Gb LAN,vzdialený prístup, Zaruka: neuvedené</t>
  </si>
  <si>
    <t>Typ: Synology DiskStation DS918+,Technol.: SATA,Radic: RAID0-10,Cache: 4GB RAM,Disky: bez,Porty: 4x SATA 1xeSATA,Vyhotovenie: na stôl,2x1Gb LAN,vzdialený prístup, Zaruka: neuvedené</t>
  </si>
  <si>
    <t>Typ: Synology DiskStation DS220+,Technol.: SATA,Radic: RAID 0+1,Cache: 2GB RAM,Disky: bez,Porty: 2x SATA,Vyhotovenie: na stôl,2x1Gb LAN,vzdialený prístup, Zaruka: neuvedené</t>
  </si>
  <si>
    <t>Typ: Seagate IronWolf,Vyhot.: interný,Kapacita: 4TB,Rozmer: 3,5",Druh: HDD5900,Rozhranie: SATA 6Gb/s,Cache: 64MB,Zaruka: neuvedené</t>
  </si>
  <si>
    <t>Typ: Seagate IronWolf,Vyhot.: interný,Kapacita: 4TB,Rozmer: 3,5",Druh: HDD7200,Rozhranie: SATA 6Gb/s,Cache: 128MB,Zaruka: neuvedené</t>
  </si>
  <si>
    <t>Typ: Seagate IronWolf,Vyhot.: interný,Kapacita: 8TB,Rozmer: 3,5",Druh: HDD7200,Rozhranie: SATA 6Gb/s,Cache: 256MB,Zaruka: neuvedené</t>
  </si>
  <si>
    <t>Typ: Seagate IronWolf 5RZ,Vyhot.: interný,Kapacita: 8TB,Rozmer: 3,5",Druh: HDD7200,Rozhranie: SATA 6Gb/s,Cache: 256MB,Zaruka: neuvedené</t>
  </si>
  <si>
    <t>Typ: Fortron HEXA+,Vyhot.: ATX,Vykon: 400W,Zaruka: neuvedené</t>
  </si>
  <si>
    <t>Typ: Seasonic SS-400ET 80+ Bronze,Vyhot.: ATX,Vykon: 400W,Zaruka: neuvedené</t>
  </si>
  <si>
    <t>Typ: Seasonic SSP-450RT 80+ Gold,Vyhot.: ATX,Vykon: 450W,Zaruka: neuvedené</t>
  </si>
  <si>
    <t>Typ: Fortron HYPER M,Vyhot.: ATX,Vykon: 500W,Zaruka: neuvedené</t>
  </si>
  <si>
    <t>Typ: Seasonic M12II Evo (SS-520GM2 F3) 80+ Bronze,Vyhot.: ATX,Vykon: 520W,Zaruka: neuvedené</t>
  </si>
  <si>
    <t>Typ: Fortron Aurum S,Vyhot.: ATX,Vykon: 700W,Zaruka: neuvedené</t>
  </si>
  <si>
    <t>Typ: Gigabyte 80Plus Gold Modular,Vyhot.: ATX,Vykon: 750W,Zaruka: neuvedené</t>
  </si>
  <si>
    <t>Typ: SilentiumPC MidT Armis AR1 Pure Black,Vyhot.: midtower,Porty: 2x USB 3.0 1x Audio 1x Mic,Zdroj: bez,Zaruka: neuvedené</t>
  </si>
  <si>
    <t>Typ: Zalman Case Miditower Z1,Vyhot.: midtower,Porty: 2x USB 3.0 1x Audio 1x Mic,Zdroj: bez,Zaruka: neuvedené</t>
  </si>
  <si>
    <t>Typ: Remax PPP-34,Kapacita: 10000 mAh,Zaruka: neuvedené</t>
  </si>
  <si>
    <t>Typ: Gembird NPA-AC1,Vykon: 90W,Zaruka: neuvedené</t>
  </si>
  <si>
    <t>Typ: LG GH24NSC0,Vyhot.: interná,Media: CD,CD-R,CD-RW,DVD,DVD-RW,DVD-R+,DVD-R-,Rychlost: 24x,Rozhranie: SATA,Zaruka: neuvedené</t>
  </si>
  <si>
    <t>Typ: Asus DRW-24D5MT,Vyhot.: interná,Media: CD,CD-R,CD-RW,DVD,DVD-RW,DVD-R+,DVD-R-,M-DISC,Rychlost: 24x,Rozhranie: SATA,Zaruka: neuvedené</t>
  </si>
  <si>
    <t>Typ: Asus BLURAY BC-12D2HT/BLK/B/AS,Vyhot.: interná,Media: BlueRay,CD,CD-R,CD-RW,DVD,DVD-RW,DVD-R+,DVD-R-,M-DISC,Rychlost: 24xDVD/12xBlueRay,Rozhranie: SATA,Zaruka: neuvedené</t>
  </si>
  <si>
    <t>Typ: Gembird DVD-RW,Vyhot.: externá,Media: CD,CD-R,CD-RW,DVD,DVD-RW,DVD-R+,DVD-R-,Rychlost: 24x,Rozhranie: USB,Zaruka: neuvedené</t>
  </si>
  <si>
    <t>Typ: Solarix,Vyhot,: bal. 305m,Spec.: CAT5e UTP,Zaruka: neuvedené</t>
  </si>
  <si>
    <t>Typ: PremiumCord,Vyhot,: bal. 305m,Spec.: CAT5e UTP,Zaruka: neuvedené</t>
  </si>
  <si>
    <t>Typ: neuvedené,Vyhot,: bal. 305m,Spec.: CAT6a UTP,Zaruka: neuvedené</t>
  </si>
  <si>
    <t>Typ: neuvedené,Vyhot,: bal. 305m,Spec.: CAT6a S/FTP LSOH,Zaruka: neuvedené</t>
  </si>
  <si>
    <t>Typ: neuvedené,Vyhot,: bal. 500m,Spec.: CAT6a UTP,Zaruka: neuvedené</t>
  </si>
  <si>
    <t>Typ: Solarix,Vyhot,: bal. 305m,Spec.: CAT6a STP LSOH,Zaruka: neuvedené</t>
  </si>
  <si>
    <t>Typ: neuvedené,Vyhot,: bal. 305m,Spec.: CAT5e S/FTP,Zaruka: neuvedené</t>
  </si>
  <si>
    <t>Typ: Kingston DataTraveler 70,Kapacita: 32GB,Rozhranie: USB-C 3.2,Zaruka: neuvedené</t>
  </si>
  <si>
    <t>Typ: Adata DashDrive Classic UV150,Kapacita: 16GB,Rozhranie: USB 3.0,Zaruka: neuvedené</t>
  </si>
  <si>
    <t>Typ: Adata DashDrive Classic UV128,Kapacita: 32GB,Rozhranie: USB 3.0,Zaruka: neuvedené</t>
  </si>
  <si>
    <t>Typ: Adata DashDrive UV150,Kapacita: 64GB,Rozhranie: USB 3.1,Zaruka: neuvedené</t>
  </si>
  <si>
    <t>Typ: Patriot Slate,Kapacita: 128GB,Rozhranie: USB 3.0,Zaruka: neuvedené</t>
  </si>
  <si>
    <t>Typ: Kingston DataTraveler 70,Kapacita: 64GB,Rozhranie: USB-C 3.2,Zaruka: neuvedené</t>
  </si>
  <si>
    <t>Typ: Gembird,Porty: 4x USB 2.0,Napajanie: z USB,Vypinanie: nie,Zaruka: neuvedené</t>
  </si>
  <si>
    <t>Typ: neuvedené,Porty: 7x USB 2.0,Napajanie: ext. zdroj,Vypinanie: áno,Zaruka: neuvedené</t>
  </si>
  <si>
    <t>Typ: Manhattan Hub,Porty: 4x USB 2.0,Napajanie: ext. zdroj,Vypinanie: nie,Zaruka: neuvedené</t>
  </si>
  <si>
    <t>Typ: Solarix,Spec.: CAT5e STP,Rozmer: 1U,PocetZasuviek: 24,Zaruka: neuvedené</t>
  </si>
  <si>
    <t>Typ: neuvedené,Spec.: CAT6a FTP,Rozmer: 1U,PocetZasuviek: 24,Zaruka: neuvedené</t>
  </si>
  <si>
    <t>Typ: Solarix,Spec.: CAT6a STP,Rozmer: 1U,PocetZasuviek: 24,Zaruka: neuvedené</t>
  </si>
  <si>
    <t>Typ: Gembird,Spec.: CAT6 FTP,Rozmer: 1U,PocetZasuviek: 24,Zaruka: neuvedené</t>
  </si>
  <si>
    <t>Typ: Linkbasic, Vyska: 22U stojaci, Zaruka: neuvedené</t>
  </si>
  <si>
    <t>Typ: Triton, Vyska: 12U na stenu, Zaruka: neuvedené</t>
  </si>
  <si>
    <t>Typ: Netrack, Vyska: 6U na stenu, Zaruka: neuvedené</t>
  </si>
  <si>
    <t>Typ: Triton 500mm, Vyska: 9U na stenu, Zaruka: neuvedené</t>
  </si>
  <si>
    <t>Typ: Triton 510mm, Vyska: 6U na stenu, Zaruka: neuvedené</t>
  </si>
  <si>
    <t>Typ: Triton 600mm, Vyska: 6U na stenu, Zaruka: neuvedené</t>
  </si>
  <si>
    <t>Typ: Triton 400mm, Vyska: 9U na stenu, Zaruka: neuvedené</t>
  </si>
  <si>
    <t>Typ: Triton 600mm, Vyska: 9U na stenu, Zaruka: neuvedené</t>
  </si>
  <si>
    <t>Typ: neuvedené - 600x500, Vyska: 12U na stenu, Zaruka: neuvedené</t>
  </si>
  <si>
    <t>Typ: neuvedené - 600x600, Vyska: 12U na stenu, Zaruka: neuvedené</t>
  </si>
  <si>
    <t>Typ: Logitech C920,Rozlisenie: 1920x1080,CCD: 15MPx,FPS: neuvedené,Rozhranie: USB,Zaruka: neuvedené</t>
  </si>
  <si>
    <t>Typ: Canyon CNE-CWC2,Rozlisenie: 1280x720,CCD: neuvedené,FPS: neuvedené,Rozhranie: USB,Zaruka: neuvedené</t>
  </si>
  <si>
    <t>Typ: Logitech ConferenceCam BCC950,Rozlisenie: 1920x1080,CCD: neuvedené,FPS: 30,Rozhranie: USB,Zaruka: neuvedené</t>
  </si>
  <si>
    <t>Typ: Geovision GV-LPC2011,Vyhot.: štandard,Rozlisenie: 1920x1080,CCD: 2MPx,FPS: neuvedené,Zoom: 3x,Rozhranie: LAN,Zaruka: neuvedené</t>
  </si>
  <si>
    <t>Typ: Geovision GV-LPC2211,Vyhot.: štandard,Rozlisenie: 1920x1080,CCD: 2MPx,FPS: neuvedené,Zoom: 2.5x,Rozhranie: LAN,Zaruka: neuvedené</t>
  </si>
  <si>
    <t>Typ: Geovision GV-VD5700,Vyhot.: antivandal dome,Rozlisenie: 1920x1080,CCD: 5MPx,FPS: neuvedené,Zoom: neuvedené,Rozhranie: LAN,Zaruka: neuvedené</t>
  </si>
  <si>
    <t>Typ: I-tec ADVANCE,Video: FHD+ 2048x1152 HDMI DVI,Porty: 2x USB3.0 4x USB 2.0,LAN: áno,Audio: áno,Zaruka: neuvedené</t>
  </si>
  <si>
    <t>Typ: Axago,Podp. karty: all-in-one 5 slotov,Rozhranie: USB,Zaruka: neuvedené</t>
  </si>
  <si>
    <t>Typ: Gembird,Technol.: optická drôtová,Rozlisenie: 1000DPI,Rozhranie: USB,Zaruka: neuvedené</t>
  </si>
  <si>
    <t>Typ: Gembird MUS-UL-1,Technol.: laserová drôtová,Rozlisenie: 2400DPI,Rozhranie: USB,Zaruka: neuvedené</t>
  </si>
  <si>
    <t>Typ: Genius DX-120,Technol.: laserová drôtová,Rozlisenie: 1200DPI,Rozhranie: USB,Zaruka: neuvedené</t>
  </si>
  <si>
    <t>Typ: Logitech B100,Technol.: optická drôtová,Rozlisenie: 800DPI,Rozhranie: USB,Zaruka: neuvedené</t>
  </si>
  <si>
    <t>Typ: SPIRE Archer I,Technol.: optická drôtová,Rozlisenie: neuvedené,Rozhranie: USB,Zaruka: neuvedené</t>
  </si>
  <si>
    <t>Typ: I-tec,Technol.: optická bezdrôtová,Rozlisenie: neuvedené,Rozhranie: Bluetooth,Zaruka: neuvedené</t>
  </si>
  <si>
    <t>Typ: Logitech M235,Technol.: optická bezdrôtová,Rozlisenie: 1000DPI,Rozhranie: proprietárne USB,Zaruka: neuvedené</t>
  </si>
  <si>
    <t>Typ: Genius Smart KB-102,Pripoj.: drôtová,Rozlozenie: CZ+SK,Rozhranie: USB,Zaruka: neuvedené</t>
  </si>
  <si>
    <t>Typ: Canyon CNE-CKEY2,Pripoj.: drôtová,Rozlozenie: SK,Rozhranie: USB,Zaruka: neuvedené</t>
  </si>
  <si>
    <t>Typ: Logitech K360,Pripoj.: bezdrôtová,Rozlozenie: CZ+SK,Rozhranie: proprietárne USB,Zaruka: neuvedené</t>
  </si>
  <si>
    <t>Typ: Logitech K400 Plus Wireless Touch Keyboard,Pripoj.: bezdrôtová,Rozlozenie: CZ+SK,Rozhranie: proprietárne USB,Zaruka: neuvedené</t>
  </si>
  <si>
    <t>Taška na notebook 10.1",Zaruka: neuvedené</t>
  </si>
  <si>
    <t>Taška na notebook 10" - 12",Zaruka: neuvedené</t>
  </si>
  <si>
    <t>Taška na notebook 13.3" - 14.1" + 10.1" tablet,Zaruka: neuvedené</t>
  </si>
  <si>
    <t>Taška na notebook 14.1",Zaruka: neuvedené</t>
  </si>
  <si>
    <t>Taška na notebook 15.6",Zaruka: neuvedené</t>
  </si>
  <si>
    <t>Taška na notebook 17",Zaruka: neuvedené</t>
  </si>
  <si>
    <t>Batoh na notebook 15.6",Zaruka: neuvedené</t>
  </si>
  <si>
    <t>Batoh na notebook 17.3",Zaruka: neuvedené</t>
  </si>
  <si>
    <t>Typ: Energenie UPS 650VA,Spinanie: Line-interactive,Vykon: 400W,Vyhot.: neuvedené,Zaruka: neuvedené</t>
  </si>
  <si>
    <t>Typ: APC Smart-UPS 1500VA,Spinanie: online,Vykon: 1kW,Vyhot.: 2U,Zaruka: neuvedené</t>
  </si>
  <si>
    <t>Typ: APC Smart-UPS 3000VA,Spinanie: online,Vykon: 2,7kW,Vyhot.: 2U,Zaruka: neuvedené</t>
  </si>
  <si>
    <t>Typ: Emos SLA,Napatie: 12V,Kapacita: 18Ah,Zaruka: neuvedené</t>
  </si>
  <si>
    <t>Typ: APC Replacement Battery Cartridge #33,Napatie: neuvedené,Kapacita: neuvedené,Zaruka: neuvedené</t>
  </si>
  <si>
    <t>Typ: APC Replacement Battery Cartridge #59,Napatie: neuvedené,Kapacita: neuvedené,Zaruka: neuvedené</t>
  </si>
  <si>
    <t>Typ: Honeywell MS5145 Eclipse,Rychlost: 72 riadkov/s,Kompatibilita: Code39,Rozhranie: USB,Zaruka: neuvedené</t>
  </si>
  <si>
    <t>LAN prepínač</t>
  </si>
  <si>
    <t>Typ: TP-Link TL-SG108E,Porty/rychl.: 8x1Gbps,Uroven: bez (pasívny),Vyhot.: proprietárne,VLAN: bez,nemanažovaný,Zaruka: neuvedené</t>
  </si>
  <si>
    <t>https://crz.gov.sk/4431412</t>
  </si>
  <si>
    <t>https://www.crz.gov.sk/data/att/4431415_dokument1.pdf, https://www.crz.gov.sk/data/att/4431416_dokument1.pdf</t>
  </si>
  <si>
    <t>Typ: Lenovo ThinkCentre M725s SFF,Proc: 4-jadro passmark 7356,RAM: 8GB,Disk: SSD NVMe 256GB,VGA: zdiel,OS: Win10Pro,klávesnica,myš,DVD,Zaruka: 3+NBD</t>
  </si>
  <si>
    <t>Typ: Lenovo ThinkCentre M725s SFF,Proc: 4-jadro passmark 10185,RAM: 16GB,Disk: SSD NVMe 512GB,VGA: zdiel,OS: Win10Pro,klávesnica,myš,DVD,Zaruka: 3+NBD</t>
  </si>
  <si>
    <t>Typ: Lenovo ThinkVision T24d,Rozlisenie: 1920x1080,Frekv: 60 Hz,Velkost: 24",Kontrast: 1000:1,Vstupy: VGA,DP,HDMI,matný, nastaviteľný,Zaruka: 3</t>
  </si>
  <si>
    <t>Typ: Lenovo ThinkVision P27q,Rozlisenie: 2560x1440,Frekv: 60 Hz,Velkost: 27",Kontrast: 1000:1,Vstupy: miniDP,DP,HDMI,matný, nastaviteľný,Zaruka: 3</t>
  </si>
  <si>
    <t>Typ: Lenovo ThinkPad L580,Proc.: 4-jadro passmark 7621,RAM: 8GB,Disk: SSD NVMe 256GB,VGA: zdiel.,Disp: FHD,OS: Win10Pro, podsv. klávesnica,DVD,TPM,dokovacia stanica,Zaruka: 3+NBD</t>
  </si>
  <si>
    <t>Typ: Lenovo ThinkPad T480s,Proc.: 4-jadro passmark 7621,RAM: 8GB,Disk: SSD NVMe 256GB,VGA: zdiel.,Disp: FHD,OS: Win10Pro, podsv. klávesnica,TPM,dokovacia stanica,Zaruka: 3+NBD</t>
  </si>
  <si>
    <t>Typ: Lenovo ThinkPad P52,Proc.: 6-jadro passmark 14579,RAM: 16GB,Disk: SSD NVMe 512GB+1TB HDD SATA,VGA: nezdiel. 4GB,Disp: FHD,OS: Win10Pro, podsv. klávesnica,TPM,dokovacia stanica,Zaruka: 3+NBD</t>
  </si>
  <si>
    <t>Typ: Lenovo P10,Proc.: 8-jadro 1.8GHz,RAM: 4GB,Disk: CF 64GB,Disp.: 1920x1200,OS: Android,Fotoaparat 2x,bluetooth,wifi,gps,Zaruka: 2</t>
  </si>
  <si>
    <t>Typ: Apple iPad Pro 10.5 wifi + cellular,Proc.: 6-jadro 2.38GHz,RAM: 4GB,Disk: CF 256GB,Disp.: 1668x2224,OS: iOS 10.3.2,Fotoaparat 2x,bluetooth,wifi,gps,LTE,Zaruka: 2</t>
  </si>
  <si>
    <t>Typ: Lenovo Miix 320 10,Proc.: 4-jadro 1.44GHz,RAM: 4GB,Disk: CF 128GB,Disp.: 1920x1200,OS: Win10Pro,Fotoaparat 2x,bluetooth,wifi,gps,LTE,Zaruka: 2</t>
  </si>
  <si>
    <t>Typ: Lenovo ThinkPad X380 Yoga,Proc.: 4-jadro passmark 7600,RAM: 16GB,Disk: SSD NVMe 256GB,VGA: zdiel.,Disp: FHD,OS: Win10Pro, podsv. klávesnica,TPM,dokovacia stanica,Zaruka: 3+NBD</t>
  </si>
  <si>
    <t>Typ: Legrand UPS KEOR SP 1000 VA 6 IEC,Spinanie: line-interactive,Vykon: 600W,Vyhot.: na stôl,Zaruka: 3</t>
  </si>
  <si>
    <t>Typ: Legrand UPS KEOR SP 1500 VA 6 IEC,Spinanie: line-interactive,Vykon: 900W,Vyhot.: na stôl,Zaruka: 3</t>
  </si>
  <si>
    <t>Typ: A-DATA DashDrive Elite HM900,Vyhot.: externý,Kapacita: 3TB,Rozmer: 3,5",Druh: HDD5400,Rozhranie: USB 3.0,Cache: neuvedené,Zaruka: 3</t>
  </si>
  <si>
    <t>Typ: A-DATA DashDrive Durable HD700,Vyhot.: externý,Kapacita: 2TB,Rozmer: 2,5",Druh: HDD5400,Rozhranie: USB 3.1,Cache: neuvedené,Zaruka: 3</t>
  </si>
  <si>
    <t>Typ: A-DATA DashDrive Classic UV131,Kapacita: 16GB,Rozhranie: USB 3.0,Zaruka: 5</t>
  </si>
  <si>
    <t>Typ: A-DATA DashDrive Classic UV131,Kapacita: 32GB,Rozhranie: USB 3.0,Zaruka: 5</t>
  </si>
  <si>
    <t>Typ: A-DATA DashDrive Classic UV131,Kapacita: 64GB,Rozhranie: USB 3.0,Zaruka: 5</t>
  </si>
  <si>
    <t>Typ: Kingston DataTraveler Elite G2,Kapacita: 128GB,Rozhranie: USB 3.1,Zaruka: 5</t>
  </si>
  <si>
    <t>Typ: Canyon CNE-CARD2,Podp. karty: all-in-one 20 typov,Rozhranie: USB 2.0,Zaruka: neuvedené</t>
  </si>
  <si>
    <t>Typ: LiteOn DVDRW UltraSlim,Vyhot.: externá,Media: CD,CD-R,CD-RW,DVD,DVD-RW,DVD-R+,DVD-R-,Rychlost: 24x,Rozhranie: USB 2.0,Zaruka: neuvedené</t>
  </si>
  <si>
    <t>Typ: LiteOn DVDRW Super Multi,Vyhot.: interná,Media: CD,CD-R,CD-RW,DVD,DVD-RW,DVD-R+,DVD-R-,Rychlost: 24x,Rozhranie: SATA,Zaruka: neuvedené</t>
  </si>
  <si>
    <t>Typ: Canyon CNE-CKEY2-SK,Pripoj.: drôtová,Rozlozenie: SK,Rozhranie: USB,Zaruka: neuvedené</t>
  </si>
  <si>
    <t>Typ: Canyon CNS-HKB2-CS,Pripoj.: drôtová,Rozlozenie: SK+CZ,Rozhranie: USB,Zaruka: neuvedené</t>
  </si>
  <si>
    <t>Typ: Canyon CNE-CMS1,Technol.: optická drôtová,Rozlisenie: 800DPI,Rozhranie: USB,Zaruka: neuvedené</t>
  </si>
  <si>
    <t>Typ: Canyon CNE-CMS2,Technol.: optická drôtová,Rozlisenie: 800DPI,Rozhranie: USB,Zaruka: neuvedené</t>
  </si>
  <si>
    <t>Typ: JBL EXTREME 2 black,Kanaly: 2,Vykon: 40W,Pripojenie: bluetooth,jack,Korekcie: nie,Bat.: 10000 mAh,Zaruka: neuvedené</t>
  </si>
  <si>
    <t>Typ: Creative GigaWorks T20 II 2.0,Kanaly: 2,Vykon: 2x10W,Pripojenie:jack,Korekcie: hĺbky,Bat.: nie,Zaruka: 2</t>
  </si>
  <si>
    <t>Typ: Lenovo,Druh: DIMM,Kapacita: 4GB,Generacia: DDR4,Frekv.: 2666MHz,Zaruka: 1</t>
  </si>
  <si>
    <t>Typ: Lenovo,Druh: DIMM,Kapacita: 8GB,Generacia: DDR4,Frekv.: 2666MHz,Zaruka: neuvedené</t>
  </si>
  <si>
    <t>Typ: Lenovo,Druh: DIMM,Kapacita: 16GB,Generacia: DDR4,Frekv.: 2666MHz,Zaruka: neuvedené</t>
  </si>
  <si>
    <t>Typ: Lenovo,Druh: SO-DIMM,Kapacita: 4GB,Generacia: DDR4,Frekv.: 2400MHz,Zaruka: 1</t>
  </si>
  <si>
    <t>Typ: Lenovo,Druh: SO-DIMM,Kapacita: 8GB,Generacia: DDR4,Frekv.: 2400MHz,Zaruka: 1</t>
  </si>
  <si>
    <t>Typ: Lenovo,Druh: SO-DIMM,Kapacita: 16GB,Generacia: DDR4,Frekv.: 2400MHz,Zaruka: 1</t>
  </si>
  <si>
    <t>Typ: WD Blue,Vyhot.: interný,Kapacita: 500GB,Rozmer: 3,5",Druh: HDD7200,Rozhranie: SATA 6Gb/s,Cache: 64MB,Zaruka: 2</t>
  </si>
  <si>
    <t>Typ: A-DATA SU800 series,Vyhot.: interný,Kapacita: 512GB,Rozmer: 2,5",Druh: SSD,Rozhranie: SATA 6Gb/s,Cache: bez,Zaruka: 3</t>
  </si>
  <si>
    <t>Typ: HP Designjet T1700dr, 44",Technologia: termálna atramentová,Farba: áno,Formaty: A0,Rozhrania: USB, ethernet,RAM: 128GB,Pam. karta: HDD500GB,Zasobnik: rolka/automatická rezačka,Rozlisenie: 2400x1200dpi,Zaruka: 3+4hod</t>
  </si>
  <si>
    <t>Typ: HP Scanjet Enterprise Flow N9120fn2, Format: A3, Rozlisenie: 600dpi, Zasobnik: áno,Zaruka: 3+NBD</t>
  </si>
  <si>
    <t>Typ: HP ScanJet Enterprise Flow 5000 s4, Format: A4, Rozlisenie: 600dpi, Zasobnik: áno,Zaruka: 3+NBD</t>
  </si>
  <si>
    <t>Typ: HP LaserJet Pro M402dne,Technologia: laser,Farba: nie,Formaty: A4,Rozhrania: USB, ethernet, wifi,RAM: neuvedené, Pam. Karta: neuvedené,Zasobnik: 250,Rozlisenie: 1200dpi,Duplex: áno,Zaruka: 3+NBD</t>
  </si>
  <si>
    <t>Typ: HP Color LaserJet Pro M452dn,Technologia: laser,Farba: áno,Formaty: A4,Rozhrania: USB, ethernet, wifi,RAM: neuvedené, Pam. Karta: neuvedené,Zasobnik: 250,Rozlisenie: 600dpi,Duplex: áno,Zaruka: 3+NBD</t>
  </si>
  <si>
    <t>Typ: HP LaserJet Enterprise M527f,Technologia: laser,Farba: nie,Formaty: A4,Rozhrania: USB, ethernet,RAM: 1.75GB,Pam. karta: neuvedené,Zasobnik: 550,R. tlace: 1200dpi,R. kopirky: 600dpi,R. skenera: 600dpi,Duplex: áno,Zaruka: 3+NBD</t>
  </si>
  <si>
    <t>Typ: HP PageWide Pro 772dn,Technologia: laser,Farba: áno,Formaty: A3,Rozhrania: USB, ethernet,RAM: 1536MB,Pam. karta: HDD16GB,Zasobnik: 250,R. tlace: 600dpi,R. kopirky: 600dpi,R. skenera: 600dpi,Duplex: áno,Zaruka: 3+NBD</t>
  </si>
  <si>
    <t>Typ:TSC TX600 + LCD,Technologia: termotlač,Farba: nie,Formaty: 112x106mm štítky,Rozhrania: USB, RS-232, ethernet,RAM: 128MB, Pam. Karta: 128MB,Zasobnik: páska,Rozlisenie: 600dpi,Duplex: -,Zaruka: neuvedené</t>
  </si>
  <si>
    <t>Typ: HP Color LaserJet Enterprise flow M880z + Výrobník/dokončovač brožúr HP Color LaserJet s 2/4 dierovačom,Technologia: laser,Farba: áno,Formaty: A3,Rozhrania: USB, ethernet, FIH, HIP,RAM: 2500MB,Pam. karta: HDD320GB,Zasobnik: 2x500+4100+3000výst,R. tlace: 1200dpi,R. kopirky: 600dpi,R. skenera: 600dpi,Duplex: áno,zošívačka, dierovačka,Zaruka: neuvedené</t>
  </si>
  <si>
    <t>Typ: HPE G2 Enterprise Shock Rack, Vyska: 42U stojaci, Zaruka: neuvedené</t>
  </si>
  <si>
    <t>Typ: HPE SimpliVity 380 Gen10 Node,Proc: 2x Intel Xeon-Silver 4110 2x8-core 2.1GHz,RAM: 288GB,Disk: 2xSSD pre OS + 5x1.92TB SSD v RAID5,Radic: RAID0-6 SAS/SATA,Ethernet: 1x10Gbps + 4x 1Gbps + 1 x 1Gbps pre remote manažment,GPU: Zdiel.,Vyhotovenie: 2U,OS nezávislý systém manažment,DVD-RW,Zaruka: 3+24/7</t>
  </si>
  <si>
    <t>Typ: HPE Proliant DL360 Gen10 8SFF,Proc: 2x Intel Xeon-Silver 4110 2x8-core 2.1GHz,RAM: 32GB,Disk: 2x240GB SSD SATA,Radic: RAID0-6 8xSAS/SATA/SSD hotswap,Ethernet: 10x1Gbps + 4x 1Gbps,GPU: zdiel.,Vyhotovenie: 1U,OS nezávislý systém manažment,DVD-RW,Zaruka: 3+4hod+24/7</t>
  </si>
  <si>
    <t>Typ: HPE StoreEver MSL2024 0-drive Tape Library,Technol.: pásková knižnica,Vyhotovenie: rackmount,Medium: pásky &gt;6TB RW WORM,Pocet_mech.: 2,Pocet_kap_media: 24x15TB + 1x cistiace,Komp_rozhrania: SAS, FC,Zaruka: 3+4hod+24/7</t>
  </si>
  <si>
    <t>Typ: HP MSA2052,Technol.: iSCSI/FC,Radic: 2xRAID5-10,Cache: 2x8GB,Disky: 22x 1.8TB 12G SAS HDD 10000RPM,Porty: neuvedené,Vyhotovenie: rackmount,4x1Gb + 2x10Gb LAN,vzdialený prístup,Zaruka: 3+4hod+24/7</t>
  </si>
  <si>
    <t>Rozšír. Polica k disk. Poľu SFF,Typ: HP MSA 2050 SFF Disk Enclosure,Kompat_pole: HP MSA2052</t>
  </si>
  <si>
    <t>Rozšír. Polica k disk. Poľu LFF,Typ: HP MSA 2050 LFF Disk Enclosure,Kompat_pole: HP MSA2052</t>
  </si>
  <si>
    <t>Typ: HPE G2 Basic Vertical,Vykon: 3.6kVA,Pocet_faz: 1,Vyhot.: rackmount, kompat s UPS 5000VA,Zaruka: neuvedené</t>
  </si>
  <si>
    <t>Typ: HPE R5000 3U,Spinanie: online,Vykon: 4,5kW,Vyhot.: 3U,Zaruka: 3</t>
  </si>
  <si>
    <t>Typ: HPE MSA Mixed use SFF,Vyhot.: interný pre diskové pole,Kapacita: 800GB,Rozmer: 2,5",Druh: SSD,Rozhranie: SAS 12Gb/s,Cache: bez,Zaruka: neuvedené</t>
  </si>
  <si>
    <t>Typ: HPE MSA SFF 512e Enterprise,Vyhot.: interný pre diskové pole,Kapacita: 1.8TB,Rozmer: 2,5",Druh: HDD10000,Rozhranie: SAS 12Gb/s,Cache: neuvedené,Zaruka: neuvedené</t>
  </si>
  <si>
    <t>Typ: HPE MSA LFF Midline,Vyhot.: interný pre diskové pole,Kapacita: 4TB,Rozmer: 3,5",Druh: HDD7200,Rozhranie: SAS 12Gb/s,Cache: neuvedené,Zaruka: neuvedené</t>
  </si>
  <si>
    <t>Typ: HPE SFF 512e Enterprise,Vyhot.: interný pre diskové pole,Kapacita: 1.8TB,Rozmer: 2,5",Druh: HDD10000,Rozhranie: SAS 12Gb/s,Cache: neuvedené,Zaruka: 3</t>
  </si>
  <si>
    <t>Typ: HPE Single Rank,Druh: DIMM kit,Kapacita: 16GB,Generacia: DDR4,Frekv.: 2666MHz,Zaruka: neuvedené</t>
  </si>
  <si>
    <t>Typ: HPE MSA 16Gb Short Wave Fibre Channel SFP+ 4-pack Transceiver,Kanaly: 4,Kapacita: 16Gbps,Zaruka: 3+4hod+bezplatný servis</t>
  </si>
  <si>
    <t>Typ: HPE StoreFabric SN1100Q,Kanaly: 2,Kapacita: 16Gbps,Zaruka: neuvedené</t>
  </si>
  <si>
    <t>Typ: HPE 562T adapter,Rozhranie: PCIe 3.0 x4,Rychlost: 10Gbps,Zaruka: neuvedené</t>
  </si>
  <si>
    <t>Rozšírenie pre zálohovacie páskové zariadenie,Typ: HPE StoreEver MSL LTO-7 Ultrium 15000 FC Drive Upgrade kit,Funkcie: LTO-7, FC, RW, WORM,Zaruka: 3+4hod+bezplatný servis</t>
  </si>
  <si>
    <t>Čistiaca páska pre zálohovacie zariadenie,Typ: HPE Ultrium Universal Cleaning Cartridge</t>
  </si>
  <si>
    <t>Typ: CISCO ASA 5525-X with FirePOWER services,Porty: 8x GE,VPN: 750 IPSec,VLAN: 200,Podpora: 3DES/AES 300Mbps, URL filter, IKE 1+2, SHA-2, IPv6+filter, IPv4 NAT, NAT64, OSPFv2+v3, SNMPv2+v3, NTP, RADIUS, LDAP, QoS, ochrana proti DoS, inšpekcia protokolov, ochrana proti IP spoofingu, PIM-SM, IGMP, IEEE 802.1q, monitoring,Zaruka: 3+NBD+servis 8x5</t>
  </si>
  <si>
    <t>Typ: HPE OfficeConnect 1950 24G 2SFP+ 2xGT Switch,Porty/rychl.: 24x1Gbps+2xSFP 1/10Gbps,Uroven: neuvedené,Vyhot.: 1U,VLAN: bez,manažovaný,Zaruka: 3 na mieste</t>
  </si>
  <si>
    <t>Typ: HPE OfficeConnect 1950 12XGT 4SFP+ Switch,Porty/rychl.: 12x1Gbps+4xSFP 1/10Gbps,Uroven: neuvedené,Vyhot.: 1U,VLAN: bez,manažovaný,Zaruka: 3 na mieste</t>
  </si>
  <si>
    <t>Typ: HPE SN3000B16Gb Active Fibre Channel switch,Porty/rychl.: 12x16Gbps FC,Uroven: neuvedené,Vyhot.: 1U,VLAN: bez,manažovaný,Zaruka: 3+4hod+24/7</t>
  </si>
  <si>
    <t>Typ: HPE Aruba IAP-305,Porty:1xGbit LAN,VPN: nie,VLAN: áno,PocetSSID: 16,Normy: IEEE 802.3af, at, Q, a/b/g/n/a/c,MIMO: 3x3:3,Pasma: 2.4+5GHz,Roaming: áno,Podpora: mapovanie SSID do VLAN,Zaruka: 3+4hod+24/7</t>
  </si>
  <si>
    <t>Typ: BENQ DLP Projector MH733,Technol.: 3LCD,Svetlost: 4000lm,Zdroj svetla: žiarovka s neuvedenou dobou životnosti,Rozlisenie: 1920x1080,Kontrast: 16000:1,Rozhrania: RS-232, USB, HDMI, VGA,Zaruka: 3</t>
  </si>
  <si>
    <t>Typ: Samsung UE50NU7442,Rozlisenie: UHD,Frekv: neuvedené,Velkost: 50",Kontrast: neuvedené,Normy:  DVB-T2 / S2 / C, H.265/HEVC,Rozhrania: WIFI, USB, HDMI, LAN,matný,Zaruka: neuvedené</t>
  </si>
  <si>
    <t>Typ: Samsung DB49J LED,Rozlisenie: FHD,Frekv: 60Hz,Velkost: 49",Kontrast: 3000:1,Normy:  -,Rozhrania: WIFI, USB, 3xHDMI, LAN, HDMI, DVI, RS232,matný,Zaruka: neuvedené</t>
  </si>
  <si>
    <t>Typ: Samsung Smart Signage QB75H-TR Monitor,Rozlisenie: UHD,Frekv.: neuvedená,Veľkosť: 75",Kontrast: neuvedené,Rozhrania: USB, LAN, RS232, WIFI,Zaruka: 3</t>
  </si>
  <si>
    <t>Typ: Apple iPhone XS 64GB Space Grey,Proc.: 64-bit,RAM: neuvedené,Ulozisko: 64GB,Disp.: 2436x1125,Fotoaparat: 2x12MPx,OS: iOS,Zaruka: 1</t>
  </si>
  <si>
    <t>Typ: Apple iPhone 8 64GB Silver,Proc.: 64-bit,RAM: neuvedené,Ulozisko: 64GB,Disp.: neuvedené,Fotoaparat: 2x12MPx,OS: iOS,Zaruka: 1</t>
  </si>
  <si>
    <t>Typ: Evolveo StrongPhone G6,Proc.: 4-jadro 1.5GHz,RAM: 2GB,Ulozisko: 16GB+karta,Disp.: 1440x720,Fotoaparat: 13MPx,OS: Android,Zaruka: neuvedené</t>
  </si>
  <si>
    <t>Typ: HSM Shredstar x13,Media: papier, kreditné karty, zákaznícke, karty, CD nosiče,StupenUtaj: 3,Rychl.: 13 listov/cyklus,Vykon: 300W,KapZas.: 23 litrov,Zaruka: neuvedené</t>
  </si>
  <si>
    <t>Typ: HSM Shredstar s10,Media: papier, kreditné karty, zákaznícke, karty, CD nosiče,StupenUtaj: 2,Rychl.: 10 listov/cyklus,Vykon: 125W,KapZas.: 18 litrov,Zaruka: 2</t>
  </si>
  <si>
    <t>Rámcová dohoda - Dodávka výpočtovej techniky</t>
  </si>
  <si>
    <t>https://crz.gov.sk/4274843</t>
  </si>
  <si>
    <t>https://www.crz.gov.sk/data/att/4274857_dokument1.pdf</t>
  </si>
  <si>
    <t>Typ: Lenovo System X3250 M6,Proc: CPU Intel Xeon E-2134, 4-core,8-thread 3.5GHz,RAM: 32GB,Disk: HDD 4x 2TB,Radic: RAID0/1/5/10/JBOD,Ethernet: 2x 1Gbps,GPU: Zdiel.,Vyhotovenie: 1U,OS nezávislý systém manažment,Zaruka: 3+4hod+24/7</t>
  </si>
  <si>
    <t>Typ: Lenovo ThinkSystem SR570,Proc: 2x CPU Intel Xeon Gold 5118 12C, 12-core,24-thread 2.3GHz,RAM: 64GB,Disk: SSD 2x 240GB hotswap,Radic: RAID0/1/10,Ethernet: 2x 10Gbps+2x 1 Gbps,GPU: Zdiel.,Vyhotovenie: 1U,OS nezávislý systém manažment,Zaruka: 3+4hod+24/7</t>
  </si>
  <si>
    <t>Typ: Lenovo ThinkSystem SR590,Proc: 2x CPU Intel Xeon Gold 5118 12C, 12-core,24-thread 2.3GHz,RAM: 64GB,Disk: SSD 2x 240GB hotswap+6x HDD 600GB 10000RPM hotswap,Radic: RAID0/1/5,Ethernet: 4x 10Gbps,GPU: Zdiel.,Vyhotovenie: 2U,OS nezávislý systém manažment,Zaruka: 3+4hod+24/7</t>
  </si>
  <si>
    <t>Typ: Lenovo ThinkSystem SR590,Proc: 2x CPU Intel Xeon Gold 6132 14C, 14-core,28-thread 2.6GHz,RAM: 64GB,Disk: SSD 2x 240GB hotswap+4x HDD 600GB 10000RPM hotswap,Radic: RAID0/1/5/10,Ethernet: 4x 10Gbps + 2x10Gbps SFP plus+2x16Gbps SAN fibrechannel,GPU: Zdiel.,Vyhotovenie: 2U,OS nezávislý systém manažment,Zaruka: 3+4hod+24/7</t>
  </si>
  <si>
    <t>Typ: Lenovo ThinkSystem SR590,Proc: 2x CPU Intel Xeon Gold 6132 14C, 14-core,28-thread 2.6GHz,RAM: 256GB,Disk: SSD 2x 240GB hotswap,Radic: RAID0/1/5/10,Ethernet: 4x 10Gbps + 2x10Gbps SFP plus+2x16Gbps SAN fibrechannel,GPU: Zdiel.,Vyhotovenie: 2U,OS nezávislý systém manažment,Zaruka: 3+4hod+24/7</t>
  </si>
  <si>
    <t>Typ: HPE ProliantDL360,Proc: 2x CPU Intel Xeon Silver 4110, 8-core,16-thread 2.1GHz,RAM: 32GB,Disk: SSD 2x 240GB+4x 2TB HDD7200,Radic: RAID0/1/5/6,Ethernet: 8x 1Gbps,GPU: Zdiel.,Vyhotovenie: 2U,OS nezávislý systém manažment,DVD-ROM,Zaruka: 3+4hod+24/7</t>
  </si>
  <si>
    <t>Typ: Dell PowerEdge T440,Proc: CPU Intel Xeon Gold 5122, 4-core,8-thread 3.6GHz,RAM: 8GB,Disk: 2x 1TB HDD7200,Radic: RAID0/1/10,Ethernet: 2x 1Gbps,GPU: Zdiel.,Vyhotovenie: tower,OS nezávislý systém manažment,Zaruka: 3+4hod+24/7</t>
  </si>
  <si>
    <t>Typ: Dell PowerEdge R740,Proc: 2x CPU Intel Xeon Silver 4216, 16-core,32-thread 2.1GHz,RAM: 192GB,Disk: SSD 2x240GB hotswap+4x 600GB HDD10000 hotswap,Radic: RAID0/1/5/10,Ethernet: 4x 10Gbps+2x 10Gbps Sfp plus+2x16Gbps SAN fibrechannel,GPU: Zdiel.,Vyhotovenie: 2U,OS nezávislý systém manažment,Zaruka: 3+4hod+24/7</t>
  </si>
  <si>
    <t>Typ: Dell PowerEdge R740,Proc: 2x CPU Intel Xeon Silver 4216, 16-core,32-thread 2.1GHz,RAM: 192GB,Disk: SSD 2x240GB hotswap,Radic: RAID0/1/10,Ethernet: 4x 10Gbps+2x 10Gbps Sfp plus+2x16Gbps SAN fibrechannel,GPU: Zdiel.,Vyhotovenie: 2U,OS nezávislý systém manažment,Zaruka: 3+4hod+24/7</t>
  </si>
  <si>
    <t>Typ: IBM System Networking 2498-X24,Porty/rychl.: 24x16Gbps FC akt. 12,Uroven: neuvedené,Vyhot.: 1U,VLAN: neuvedené,manažovaný,Zaruka: 3+4hod+24/7</t>
  </si>
  <si>
    <t>Typ: IBM Storage Networking 8960-F24,Porty/rychl.: 24x16Gbps FC akt. 8,Uroven: neuvedené,Vyhot.: 1U,VLAN: neuvedené,manažovaný,Zaruka: 3+4hod+24/7</t>
  </si>
  <si>
    <t>Typ: Dell EMC Unity 300,Technol.:SAS/FC,Radic: 2xRAID,Cache: 48GB RAM+400GB SSD,Disky: 6x 198GB SSD SFF+16x 1.2TB HDD10000 SAS+25x 200GB FLASH drive,Porty: 4x 8Gbps FC SW+2x12Gbps SASé,Vyhotovenie: 2U,vzdialený prístup,Zaruka: 5+4hod+24/7</t>
  </si>
  <si>
    <t>Rozšír. Jednotka k disk. poľu,Typ: Dell EMC Unity 300 25x2.5 Drive DAE FLD RCK,Kompat_pole: Dell EMC Unity 300,Pozicie: 25xSFF,Vyhotovenie: 2U,Zaruka: 5+4hod+24/7</t>
  </si>
  <si>
    <t>Rozšír. Jednotka k disk. poľu,Typ: Dell EMC Unity 300 15x3.5 Drive DAE FLD RCK,Kompat_pole: Dell EMC Unity 300,Pozicie: 15xLFF,Vyhotovenie: 3U,Zaruka: 5+4hod+24/7</t>
  </si>
  <si>
    <t>Typ: IBM Storwize V7000 SFF 2076-624,Technol.:SAS/FC,Radic: 2xRAID,Cache: 64GB RAM,Disky: 24x 900GB HDD10000 SAS,Porty: 6x1Gbps iSCSI+8x16Gbps FC SW + 4x12 Gbps SAS,Vyhotovenie: 2U,vzdialený prístup,Zaruka: 5+4hod+24/7</t>
  </si>
  <si>
    <t>Rozšír. Jednotka k disk. poľu,Typ: IBM Storwize V7000 SFF,Kompat_pole: IBM Storwize V7000 SFF,Pozicie: 24xSFF,Vyhotovenie: 2U,Zaruka: 5+4hod+24/7</t>
  </si>
  <si>
    <t>Rozšír. Jednotka k disk. poľu,Typ: IBM Storwize V7000 LFF,Kompat_pole: IBM Storwize V7000 SFF,Pozicie: 12xLFF,Vyhotovenie: 2U,Zaruka: 5+4hod+24/7</t>
  </si>
  <si>
    <t>Typ: IBM TS4300 Tape Library,Technol.: pásková knižnica,Vyhotovenie: 3U,Medium: 32x páska LTO,Pocet_mech.: 3,Pocet_kap_media: bez,Komp_rozhrania: FC,Zaruka: 3+4hod+24/7</t>
  </si>
  <si>
    <t>Rozšír. jednotka k zálohovacej jednotke,Typ: IBM TS4300 Tape Library,Kompat_jednotka:  IBM TS4300 Tape Library,Pozicie: 40xLTO,Vyhotovenie: 3U,Zaruka: 3+4hod+24/7</t>
  </si>
  <si>
    <t>Typ: Lenovo NetBAY S2,Vyska: 42U stojaci, Zaruka: 3+4hod+24/7</t>
  </si>
  <si>
    <t>Typ: HP EliteDesk 800 G5 DM,Proc: 6-jadro passmark 9722,RAM: 8GB,Disk: HDD SATA 500GB,VGA: zdiel,OS: Win10Pro,klávesnica,myš,Zaruka: 3+NBD+8/5</t>
  </si>
  <si>
    <t>Typ: HP EliteDesk 800 G5 SFF,Proc: 6-jadro passmark 9722,RAM: 8GB,Disk: HDD SATA 500GB,VGA: zdiel,OS: Win10Pro,klávesnica,myš,Zaruka: 3+NBD+8/5</t>
  </si>
  <si>
    <t>Typ: HP EliteDesk 800 G5 AiO,Proc: 6-jadro passmark 9722,RAM: 8GB,Disk: HDD SATA 1TB,VGA: zdiel,OS: Win10Pro,klávesnica,myš,Monitor: FHD 23.8" WLED dotyk+nastavenie,DVD,Zaruka: 3+NBD+8/5</t>
  </si>
  <si>
    <t>Typ: HP EliteDesk 800 G5 AiO,Proc: 4-jadro passmark 6136,RAM: 8GB,Disk: HDD SATA 1TB,VGA: zdiel,OS: Win10Pro,klávesnica,myš,Monitor: FHD 23.8" WLED dotyk+nastavenie,DVD,Zaruka: 3+NBD+8/5</t>
  </si>
  <si>
    <t>Typ: HP Z4 G4,Proc: 4-jadro passmark 8489,RAM: 16GB,Disk: SSD NVMe 256GB+HDD SATA 1TB,VGA: nezdiel. Nvidia Quadro P4000 8GB passmark 11426,OS: Win10Pro,klávesnica,myš,DVD,Zaruka: 3+NBD+8/5</t>
  </si>
  <si>
    <t>Typ: Dell Precision T3430,Proc: 6-jadro passmark 13050,RAM: 16GB,Disk: SSD SATA 256GB,VGA: nezdiel. Nvidia Quadro P620 passmark 3639,OS: Win10Pro,klávesnica,myš,DVD,Zaruka: 3+NBD+8/5</t>
  </si>
  <si>
    <t>Typ: HP EliteBook 830 G6,Proc.: 4-jadro passmark 6105,RAM: 8GB,Disk: SSD NVMe 256GB,VGA: zdiel.,Disp: FHD + dotyk,OS: Win10Pro, klávesnica SK,TPM,Zaruka: 3+NBD+8/5</t>
  </si>
  <si>
    <t>Typ: HP EliteBook 850 G6,Proc.: 4-jadro passmark 6105,RAM: 8GB,Disk: SSD NVMe 256GB,VGA: zdiel.,Disp: FHD + dotyk,OS: Win10Pro, klávesnica SK,TPM,Zaruka: 3+NBD+8/5</t>
  </si>
  <si>
    <t>Typ: HP ProBook 450 G6,Proc.: 4-jadro passmark 7954,RAM: 16GB,Disk: SSD NVMe 256GB + HDD SATA 1TB,VGA: nezdiel. Nvidia GeForce MX130 passmark 1899,Disp: FHD,OS: Win10Pro, klávesnica SK,TPM,Zaruka: 3+NBD+8/5</t>
  </si>
  <si>
    <t>Typ: Apple MacBook Pro,Proc.: 6-jadro passmark 10328,RAM: 16GB,Disk: SSD NVMe 512GB,VGA: nezdiel. AMD Radeon Pro 560X 4GB GDDR5 passmark 3475,Disp: 2880x1801 retina,OS: MacOS+Win10Pro, klávesnica SK,TPM,Zaruka: 2+NBD+8/5</t>
  </si>
  <si>
    <t>Typ: HP EliteDisplay E243m,Rozlisenie: 1920x1080,Frekv: 60 Hz,Velkost: 23.8",Kontrast: 1000:1,Vstupy: VGA, DP, HDMI,matný,Zaruka: 3+NBD+8/5</t>
  </si>
  <si>
    <t>Typ: HP Z32 4K UHD Display,Rozlisenie: 3840x2160,Frekv: 60 Hz,Velkost: 31.5",Kontrast: 1300:1,Vstupy: DP, MiniDP, HDMI2.0, USB-C,matný,Zaruka: 3+NBD+8/5</t>
  </si>
  <si>
    <t>Typ: Eizo FlexScan EV2456,Rozlisenie: 1920x1080,Frekv: 60 Hz,Velkost: 24",Kontrast: 1000:1,Vstupy: DVI, VGA, DP, HDMI, USB,matný,Zaruka: 5+NBD+8/5</t>
  </si>
  <si>
    <t>Typ: NEC LED EJ71M,Rozlisenie: 1280x1024,Frekv: 60 Hz,Velkost: 17",Kontrast: 1000:1,Vstupy: DVI, VGA,matný,Zaruka: 3+NBD+8/5</t>
  </si>
  <si>
    <t>Typ: Iiyama ProLite B2083HSD,Rozlisenie: 1600x900,Frekv: 60 Hz,Velkost: 20",Kontrast: 1000:1,Vstupy: DVI, VGA,matný,Zaruka: 3+NBD+8/5</t>
  </si>
  <si>
    <t>Typ: Dell Professional P2417H,Rozlisenie: 1920x1080,Frekv: 60 Hz,Velkost: 23.8",Kontrast: 1000:1,Vstupy: VGA, DP, HDMI, USB,matný,nastaviteľný,Zaruka: 3+NBD+8/5</t>
  </si>
  <si>
    <t>Typ: Eizo FlexScan S1934H-BK,Rozlisenie: 1280x1024,Frekv: 60 Hz,Velkost: 19",Kontrast: 1000:1,Vstupy: DVI, VGA, DP,matný,nastaviteľný,Zaruka: 5+NBD+8/5</t>
  </si>
  <si>
    <t>Typ: Iiyama XUB2790HS-B1,Rozlisenie: 1080x1920,Frekv: 60 Hz,Velkost: 27",Kontrast: 1000:1,Vstupy: DVI, HDMI, VGA,matný,Zaruka: 3+NBD+8/5</t>
  </si>
  <si>
    <t>Typ: NEOVO SC-17AH,Rozlisenie: 1280x1024,Frekv: 60 Hz,Velkost: 17",Kontrast: 1000:1,Vstupy: VGA, S-VIDEO, HDMI, BNCout+BNCin,matný,Zaruka: 3+NBD+8/5</t>
  </si>
  <si>
    <t>Typ: NEOVO SC-22AH,Rozlisenie: 1920x1080,Frekv: 60 Hz,Velkost: 22",Kontrast: 1000:1,Vstupy: VGA, S-VIDEO, HDMI, BNCout+BNCin,matný,Zaruka: 3+NBD+8/5</t>
  </si>
  <si>
    <t>Typ: BENQ MH733,Technol.: DLP,Svetlost: 4000lm,Zdroj svetla: žiarovka 4000h,Rozlisenie: FHD,Kontrast: 16000:1,Rozhrania: USB, HDMI, LAN, Jack,Zaruka: 3+NBD+8/5</t>
  </si>
  <si>
    <t>Typ: HP LaserJet Pro M501dn,Technologia: laser,Farba: nie,Formaty: A4,Rozhrania: USB, ethernet,RAM: 256MB, Pam. Karta: neuvedené,Zasobnik: 650,Rozlisenie: 600dpi,Duplex: áno,Zaruka: 2+NBD+8/5</t>
  </si>
  <si>
    <t>Typ: Lexmark CS421dn,Technologia: laser,Farba: áno,Formaty: A4,Rozhrania: USB, ethernet,RAM: 512MB, Pam. Karta: neuvedené,Zasobnik: 250,Rozlisenie: 1200dpi,Duplex: áno,Zaruka: 3+NBD+8/5</t>
  </si>
  <si>
    <t>Typ: HP Color LaserJet Ent M751dn,Technologia: laser,Farba: áno,Formaty: A3,Rozhrania: USB+USB host, ethernet,RAM: 1,5GB, Pam. Karta: neuvedené,Zasobnik: 650,Rozlisenie: 1200dpi,Duplex: áno,Zaruka: 3+NBD+8/5</t>
  </si>
  <si>
    <t>Typ: Lexmark MX421ade,Technologia: laser,Farba: nie,Formaty: A4,Rozhrania: USB, ethernet,RAM: 512MB,Pam. karta: neuvedené,Zasobnik: 350,R. tlace: 1200dpi,R. kopirky: 1200dpi,R. skenera: 1200/600dpi ČB/F,Duplex: áno,fax,Zaruka: 2+NBD+8/5</t>
  </si>
  <si>
    <t>Typ: Lexmark MC2535adwe,Technologia: laser,Farba: áno,Formaty: A4,Rozhrania: USB, ethernet,RAM: 2GB,Pam. karta: neuvedené,Zasobnik: 250,R. tlace: 1200dpi,R. kopirky: 1200dpi,R. skenera: 1200/600dpi ČB/F,Duplex: áno,Zaruka: 2+NBD+8/5</t>
  </si>
  <si>
    <t>Typ:Triumph Adler 8006ci,Technologia: laser,Farba: áno,Formaty: A3+,Rozhrania: USB, ethernet,RAM: 4.5GB,Pam. karta: 8GB SSD + 320GB HDD,Zasobnik: 2x500 A3+2x3000 A4-A6,R. tlace: 1200dpi,R. kopirky: 600dpi,R. skenera: 600dpi,Duplex: áno,zošívačka,Zaruka: 3+NBD+8/5</t>
  </si>
  <si>
    <t>Typ:Triumph Adler 2507ci,Technologia: laser+AIM,Farba: áno,Formaty: A3,Rozhrania: USB, ethernet,RAM: 4.5GB,Pam. karta: 32GB SSD ,Zasobnik: 2x500 A3+7150 A4,R. tlace: 1200dpi,R. kopirky: 600dpi,R. skenera: 600dpi,Duplex: áno,Zaruka: 2+NBD+8/5</t>
  </si>
  <si>
    <t>Typ:Triumph Adler 3262i,Technologia: laser+AIM,Farba: nie,Formaty: A3,Rozhrania: USB, ethernet,RAM: 2GB,Pam. karta: 32GB SSD ,Zasobnik: 2x500,R. tlace: 1200dpi,R. kopirky: 600dpi,R. skenera: 600dpi,Duplex: áno,Zaruka: 2+NBD+8/5</t>
  </si>
  <si>
    <t>Typ: HP Designjet T2530,Technologia: perokresba atramentová,Farba: áno,Formaty: A0,Rozhrania: USB, ethernet,RAM: 128GB,Pam. karta: HDD500GB,Zasobnik: rolka/automatická rezačka,Rozlisenie: 2400x1200dpi,Zaruka: 3+NBD+8/5</t>
  </si>
  <si>
    <t>Typ: Epson SureColor SC-P5000 STD,Technologia: atrament,Farba: áno,Formaty: A2,Rozhrania: USB, ethernet,RAM: 384GB, Pam. Karta: neuvedené,Zasobnik: 250,Rozlisenie: 1440dpi,Duplex: neuvedené,Zaruka: 2+NBD+8/5</t>
  </si>
  <si>
    <t>Rámcová dohoda Informačno-komunikačných technológií, softvéru, licencií a systémovej podpory pre Technickú univerzitu v Košiciach, časť 1: Informačno-komunikačných technológií pre TUKE</t>
  </si>
  <si>
    <t>https://crz.gov.sk/zmluva/5300966</t>
  </si>
  <si>
    <t>https://www.crz.gov.sk/data/att/2615527.pdf</t>
  </si>
  <si>
    <t>Typ: Cisco C9200L-48T-4G-E Catalyst 9200L Network Essentials,Porty/rychl.: 48x1Gbps + 4x1Gbps SFP Uplink,Uroven: neuvedené,Vyhot.: 1U,VLAN: neuvedené,Zaruka: 5+3lic</t>
  </si>
  <si>
    <t>Typ: Cisco C9200L-48P-4G-E Catalyst 9200L Network Essentials,Porty/rychl.: 48x1Gbps PoE + 4x1Gbps SFP Uplink,Uroven: neuvedené,Vyhot.: 1U,VLAN: neuvedené,Zaruka: 5+3lic</t>
  </si>
  <si>
    <t>Typ: Cisco C9200L-24T-4G-E Catalyst 9200L Network Essentials,Porty/rychl.: 24x1Gbps + 4x1Gbps SFP Uplink,Uroven: neuvedené,Vyhot.: 1U,VLAN: neuvedené,Zaruka: 5+3lic</t>
  </si>
  <si>
    <t>Typ: Cisco C9200L-24P-4G-E Catalyst 9200L Network Essentials,Porty/rychl.: 24x1Gbps PoE + 4x1Gbps SFP Uplink,Uroven: neuvedené,Vyhot.: 1U,VLAN: neuvedené,Zaruka: 5+3lic</t>
  </si>
  <si>
    <t>Typ: Cisco C1000-48T-4G-L Catalyst 1000,Porty/rychl.: 48x100Mbps + 2x1Gbps SFP Uplink,Uroven: neuvedené,Vyhot.: 1U,VLAN: neuvedené,Zaruka: 5</t>
  </si>
  <si>
    <t>Typ: Cisco C1000-48P-4G-L Catalyst 1000,Porty/rychl.: 48x100Mbps PoE + 2x1Gbps SFP Uplink,Uroven: neuvedené,Vyhot.: 1U,VLAN: neuvedené,Zaruka: 5</t>
  </si>
  <si>
    <t>Typ: Cisco C1000-24T-4G-L Catalyst 1000,Porty/rychl.: 24x100Mbps + 2x1Gbps SFP Uplink,Uroven: neuvedené,Vyhot.: 1U,VLAN: neuvedené,Zaruka: 5</t>
  </si>
  <si>
    <t>Typ: Cisco C1000-24P-4G-L Catalyst 1000,Porty/rychl.: 24x100Mbps PoE + 2x1Gbps SFP Uplink,Uroven: neuvedené,Vyhot.: 1U,VLAN: neuvedené,Zaruka: 5</t>
  </si>
  <si>
    <t>Typ: Cisco C1000-16P-2G-L Catalyst 1000,Porty/rychl.: 16x100Mbps PoE + 2x1Gbps SFP Uplink,Uroven: neuvedené,Vyhot.: 1U,VLAN: neuvedené,Zaruka: 5</t>
  </si>
  <si>
    <t>Typ: Cisco C1000-8P-2G-L Catalyst 1000,Porty/rychl.: 16x100Mbps PoE + 2x1Gbps SFP Uplink,Uroven: neuvedené,Vyhot.: 1U,VLAN: neuvedené,Zaruka: 5</t>
  </si>
  <si>
    <t>Typ: Cisco C1000-8T-2G-L Catalyst 1000,Porty/rychl.: 8x100Mbps + 2x1Gbps SFP Uplink,Uroven: neuvedené,Vyhot.: 1U,VLAN: neuvedené,Zaruka: 5</t>
  </si>
  <si>
    <t>Typ: Cisco C9407R-96U-BNDL-A Catalyst 9400 Series 7 Slot chassis+Cisco 9400 series - switch+zdroj+licencie+expandéry,Porty/rychl.: 96x1Gbit neblok + 24x1Gbit SFP neblok + 24x 10Gbit SFP plus,Uroven: neuvedené,Vyhot.: 1U,VLAN: 4096,Zaruka: 2+NBD+8/5</t>
  </si>
  <si>
    <t>Typ: Cisco C9606R-96U-BNDL-A Catalyst 9600 Series 6 Slot chassis + Cisco C9600 series - switch+zdroj+licencie+expandéry,Porty/rychl.: 48x10/25Gbit SFP28 (1Gbit kompat.) + 144x10/1Gbit,Uroven: neuvedené,Vyhot.: 1U,VLAN: neuvedené,Zaruka: 2+NBD+8/5</t>
  </si>
  <si>
    <t>Typ: Cisco CP-7811-K9,Porty: 2x10/100Mbit,Video: nie,Displej: Monochromat. 384x106,RychlVolby: 1,Protokoly: SCCP alebo SIP,VLAN: 802.1q,Handsfree: analóg,Ostatne: PoE, switch na prip. K PC,Zaruka: 2</t>
  </si>
  <si>
    <t>Typ: Cisco CP-8841-K9,Porty: 2x1Gbit,Video: nie,Displej: Farba 800x480,RychlVolby: 10,Protokoly: SCCP alebo SIP,VLAN: 802.1q,Handsfree: analóg,Ostatne: PoE, switch na prip. K PC 1Gbit,Zaruka: 2</t>
  </si>
  <si>
    <t>Typ: Cisco CP-8865-K9,Porty: 2x1Gbit,Video: 720p+kamera,Displej: Farba 800x480,RychlVolby: 10+4,Protokoly: SCCP alebo SIP,VLAN: 802.1q,Handsfree: bluetooth 3.0+analóg,Ostatne: PoE, switch na prip. K PC 1Gbit+wifi, USB,Zaruka: 2</t>
  </si>
  <si>
    <t>Typ: Cisco CP-DX80-K9,Displej: 23" FHD,Video: HD,Audio: 48kHz vzork. + 20kHz HQ audio,Priepustnost: 3Mbps H.323 a SIP,Ostatne: IP telefón, 2-port 1Gbit switch k PC,Zaruka: 3+NBD+8/5</t>
  </si>
  <si>
    <t>Typ: Cisco CS-DESKPRO-K9,Displej: 27" UHD,Video: UHD,Audio: 48 kHz vzork. 20kHz HQ audio,Priepustnost:neuvedené,Ostatne: IP telefón, 2-port 1Gbit switch k PC,Zaruka: 2+NBD+8/5</t>
  </si>
  <si>
    <t>Typ: Cisco CS-BOARD55S-G-K9,Displej: 55" UHD multitouch,Video: UHD,Audio: 12 mikrofónov 48 kHz vzork. 20kHz HQ audio,Priepustnost:neuvedené,Ostatne: 1Gbit LAN+wifi, NTP,Zaruka: 3+NBD+8/5</t>
  </si>
  <si>
    <t>Typ: Cisco CS-BOARD70S-G-K9,Displej: 70" UHD multitouch,Video: UHD,Audio: 12 mikrofónov 48 kHz vzork. 20kHz HQ audio,Priepustnost:neuvedené,Ostatne: 1Gbit LAN+wifi, NTP,Zaruka: neuvedené</t>
  </si>
  <si>
    <t>Typ: Cisco CS-BOARD85S-G-K9,Displej: 70" UHD multitouch,Video: UHD,Audio: 12 mikrofónov 48 kHz vzork. 20kHz HQ audio,Priepustnost:neuvedené,Ostatne: 1Gbit LAN+wifi, NTP,Zaruka: neuvedené</t>
  </si>
  <si>
    <t>Typ: AXIS P1447-LE Network Camera,Vyhot.: IP66,Rozlisenie: 2592x1944,CCD: 5MPx,FPS: min. 24,Zoom: neuvedené,Rozhranie: LAN+SD karta,Zaruka: 3</t>
  </si>
  <si>
    <t>Typ: Cisco AIR-AP1832I-E-K9802.11ac Wave 2,Porty:1x1Gbit LAN+PoE+manažment,VPN: neuvedené,VLAN: neuvedené,PocetSSID: neuvedené,Normy: IEEE 802.3af + 802.11ac+n+ag,MIMO: 3x3:3,Pasma: 2.4+5GHz,Roaming: neuvedené,Podpora: neuvedené,Zaruka: 2</t>
  </si>
  <si>
    <t>Typ: Cisco C9115AXI-E Catalyst,Porty:1x1Gbit LAN+PoE+manažment,VPN: neuvedené,VLAN: neuvedené,PocetSSID: neuvedené,Normy: IEEE 802.3af + 802.11ax,MIMO: 4x4:4,Pasma: 2.4+5GHz,Roaming: neuvedené,Podpora: neuvedené,Zaruka: 2</t>
  </si>
  <si>
    <t>Typ: Lenovo Tab M8,Proc.: 4-jadro 2.3GHz,RAM: 3GB,Disk: 32GB int.,Disp.: 1920x1200,OS: Android 9.0,Fotoaparat 2x,bluetooth,wifi,gps,Zaruka: neuvedené</t>
  </si>
  <si>
    <t>Typ: Samsung Galaxy Tab A 2019 10.1 LTE,Proc.: 2-jadro 1.8GHz,RAM: 2GB,Disk: 32GB int.,Disp.: 1920x1200,OS: Android 9.0,Fotoaparat 2x,bluetooth,wifi,gps,Zaruka: neuvedené</t>
  </si>
  <si>
    <t>Typ: Apple iPad 10.2 32 GB,Proc.: 6-jadro 2.49GHz,RAM: 3GB,Disk: 32GB int.,Disp.: 2160x1620 Retina,OS: iPadOS,Fotoaparat 2x,bluetooth,wifi,gps,LTE,Zaruka: neuvedené</t>
  </si>
  <si>
    <t>Typ: Apple iPad Pro 128 GB,Proc.: 8-jadro 2.49GHz,RAM: 8GB,Disk: 128GB int.,Disp.: 2732x2048 Liquid retina,OS: iPadOS,Fotoaparat 2x,bluetooth,wifi,gps,LTE,Zaruka: neuvedené</t>
  </si>
  <si>
    <t>Typ: HP Pro 300 G3,Proc: 6-jadro passmark 9478,RAM: 8GB,Disk: SSD NVMe 256GB,VGA: zdiel,OS: Win10Pro,klávesnica,myš,Zaruka: neuvedené</t>
  </si>
  <si>
    <t>Typ: HP Slim S01-aD0011nc,Proc: 4-jadro passmark 3040,RAM: 8GB,Disk: HDD SATA 1TB,VGA: zdiel,OS: Win10Pro,klávesnica,myš,Zaruka: neuvedené</t>
  </si>
  <si>
    <t>Typ: HP Slim S01-aD0013nc,Proc: 4-jadro passmark 3040,RAM: 8GB,Disk: SSD NVMe 500GB,VGA: zdiel,OS: Win10Pro,klávesnica,myš,Zaruka: neuvedené</t>
  </si>
  <si>
    <t>Typ: HP Pavilion Gaming TG01-0002nc,Proc: 6-jadro passmark 9544,RAM: 8GB,Disk: SSD NVMe 256GB + HDD SATA 1TB,VGA: nezdiel nVidia GTX1650 4GB passmark 7806,OS: Win10Pro,klávesnica,myš,Zaruka: neuvedené</t>
  </si>
  <si>
    <t>Typ: Lenovo PC V30a-24IML AiO,Proc: 2-jadro passmark 4005,RAM: 8GB,Disk: HDD SATA 1TB,VGA: zdiel,OS: Win10Pro,klávesnica,myš,Monitor: FHD 23.8" IPS LED dotyk,Zaruka: 1</t>
  </si>
  <si>
    <t>Typ: Lenovo PC V30a-24IML AiO,Proc: 4-jadro passmark 6405,RAM: 8GB,Disk: SSD SATA 256GB,VGA: zdiel,OS: Win10Pro,klávesnica,myš,Monitor: FHD 23.8" IPS LED dotyk,Zaruka: 1</t>
  </si>
  <si>
    <t>Typ: Intel NUC Kit 8i3CYSN,Proc: 2-jadro passmark 4376,RAM: 4GB,Disk: HDD SATA 1TB,VGA: zdiel,OS: Win10Pro,klávesnica,myš,Zaruka: neuvedené</t>
  </si>
  <si>
    <t>Typ: Intel NUC 8i5BEHFA2,Proc: 4-jadro passmark 8131,RAM: 4GB+Intel Optane 16GB,Disk: HDD SATA 1TB,VGA: zdiel,OS: Win10Pro,klávesnica,myš,Zaruka: neuvedené</t>
  </si>
  <si>
    <t>Typ: HP Pavilion 27 AiO,Proc: 8-jadro passmark 13092,RAM: 16GB,Disk: SSD SATA 512GB + HDD SATA 1TB,VGA: zdiel,OS: Win10Pro,klávesnica,myš,Monitor: UHD 27" IPS LED dotyk,Zaruka: neuvedené</t>
  </si>
  <si>
    <t>Typ: Lenovo ThinkCentre M720t Tower,Proc: 8-jadro passmark 13387,RAM: 16GB,Disk: SSD SATA 512GB,VGA: zdiel,OS: Win10Pro,klávesnica,myš,Zaruka: 3+OnSite</t>
  </si>
  <si>
    <t>Typ: HP Z4 G4,Proc: 8-jadro passmark 19446,RAM: 32GB,Disk: SSD NVMe 512GB,VGA: nezdiel nVidia GeForce RTX 2080 Ti 11GB GDDR6 passmark 21797.,OS: Win10Pro,klávesnica,myš,DVD,Zaruka: neuvedené</t>
  </si>
  <si>
    <t>Typ: Dell Precision T3630 TWR,Proc: 4-jadro passmark 9660,RAM: 16GB,Disk: SSD NVMe 256GB + HDD SATA 1TB,VGA: nezdiel nVidia Quadro Pro P2200 5GB passmark 9486.,OS: Win10Pro,klávesnica,myš,DVD,Zaruka: neuvedené</t>
  </si>
  <si>
    <t>Typ: HP Z4 G4,Proc: 8-jadro passmark 19446,RAM: 32GB,Disk: SSD NVMe 512GB,VGA: nezdiel nVidia Quadro Pro P2200 5GB passmark 9486.,OS: Win10Pro,klávesnica,myš,DVD,Zaruka: neuvedené</t>
  </si>
  <si>
    <t>Typ: Asus LCD VZ239HE,Rozlisenie: 1920x1080,Frekv: 60 Hz,Velkost: 23",Kontrast: 3000:1,Vstupy: VGA, HDMI,matný,Zaruka: neuvedené</t>
  </si>
  <si>
    <t>Typ: Acer LCD EK220QAbi,Rozlisenie: 1920x1080,Frekv: 75 Hz,Velkost: 21.5",Kontrast: 3000:1,Vstupy: VGA, HDMI,matný,Zaruka: neuvedené</t>
  </si>
  <si>
    <t>Typ: Philips MT IPS LED 273V7QDSB/00,Rozlisenie: 1920x1080,Frekv: 60 Hz,Velkost: 27",Kontrast: 1000:1,Vstupy: DVI, HDMI,matný,Zaruka: neuvedené</t>
  </si>
  <si>
    <t>Typ: Dell S2721D WLED LCD,Rozlisenie: 2560x1440,Frekv: 60 Hz,Velkost: 27",Kontrast: 1000:1,Vstupy: HDMI, DVI, matný,Zaruka: neuvedené</t>
  </si>
  <si>
    <t>Typ: AOC MT IPS LCD WLED U2790PQU,Rozlisenie: 3840x2160,Frekv: 60 Hz,Velkost: 27",Kontrast: 1000:1,Vstupy: HDMI 2.0, DP 1.2, matný, nastaviteľný,Zaruka: neuvedené</t>
  </si>
  <si>
    <t>Typ: LG MT IPS LCD LED 34WL750,Rozlisenie: 3440x1440,Frekv: 60 Hz,Velkost: 34",Kontrast: 1000:1,Vstupy: HDMI 2.0, DP 1.2, USB, matný,Zaruka: neuvedené</t>
  </si>
  <si>
    <t>Typ: HPE ProLiant DL160 Gen10 3204,Proc: CPU Intel Xeon Bronze 3204, 6-core,6-thread 1.9GHz,RAM: 16GB,Disk: HDD 3x 2TB 7200 LFF SATA,Radic: RAID0/1/5/10,Ethernet: 2x 1Gbps,GPU: Zdiel.,Vyhotovenie: 1U,OS nezávislý systém manažment,Zaruka: neuvedené</t>
  </si>
  <si>
    <t>Typ: HPE ProLiant DL360 Gen10 4208,Proc: CPU Intel Xeon Silver 4208, 8-core,16-thread 2.1GHz,RAM: 16GB,Disk: HDD 2x 1TB 7200 LFF SATA,Radic: RAID0/1/5/6/10/50/60/1ADM/10ADM,Ethernet: 4x 1Gbps,GPU: Zdiel.,Vyhotovenie: 1U,OS nezávislý systém manažment,Zaruka: neuvedené</t>
  </si>
  <si>
    <t>Typ: HPE ProLiant DL360 Gen10 4208,Proc: 2x CPU Intel Xeon Silver 4208, 8-core,16-thread 2.1GHz,RAM: 16GB,Disk: HDD 2x 300GB 10000 SFF SAS,Radic: RAID0/1/5/6/10/50/60/1ADM/10ADM,Ethernet: 4x 1Gbps,GPU: Zdiel.,Vyhotovenie: 1U,OS nezávislý systém manažment,Zaruka: neuvedené</t>
  </si>
  <si>
    <t>Typ: HPE ProLiant DL380 Gen10 4208,Proc: 2x CPU Intel Xeon Silver 4208, 8-core,16-thread 2.1GHz,RAM: 32GB,Disk: HDD 3x 300GB 10000 SFF SAS,Radic: RAID0/1/5/6/10/50/60/1ADM/10ADM,Ethernet: 4x 1Gbps,GPU: Zdiel.,Vyhotovenie: 2U,OS nezávislý systém manažment,Zaruka: neuvedené</t>
  </si>
  <si>
    <t>Typ: HPE ProLiant DL380 Gen10 4208,Proc: 2x CPU Intel Xeon Silver 4208, 8-core,16-thread 2.1GHz,RAM: 96GB,Disk: HDD 4x 300GB 10000 SFF SAS,Radic: RAID0/1/5/6/10/50/60/1ADM/10ADM,Ethernet: 4x 1Gbps,GPU: Zdiel.,Vyhotovenie: 2U,OS nezávislý systém manažment,Zaruka: neuvedené</t>
  </si>
  <si>
    <t>Typ: HPE ProLiant DL380 Gen10 4208,Proc: 2x CPU Intel Xeon Silver 4208, 8-core,16-thread 2.1GHz,RAM: 96GB,Disk: HDD 3x 300GB 10000 SFF SAS + 2x 1.2TB 10000 SFF SAS,Radic: RAID0/1/5/6/10/50/60/1ADM/10ADM,Ethernet: 4x 1Gbps,GPU: Zdiel.,Vyhotovenie: 2U,OS nezávislý systém manažment,Zaruka: neuvedené</t>
  </si>
  <si>
    <t>Typ: Cisco UCSB-B200-M5-U M5 Blade,Proc: 2x CPU Intel Xeon Silver 4210, 10-core,20-thread 2.2GHz,RAM: 96GB,Disk: HDD 32GB Flash,Radic: RAID,Ethernet: 4+8x 10Gbps+FibreChannel switch,GPU: Zdiel.,Vyhotovenie: 2U,OS nezávislý systém manažment,Zaruka: 2+NBD+8/5</t>
  </si>
  <si>
    <t>Typ: Cisco UCSB-B200-M5-U M5 Blade,Proc: 2x CPU Intel Xeon Silver 4210, 10-core,20-thread 2.2GHz,RAM: 288GB,Disk: HDD 32GB Flash,Radic: RAID,Ethernet: 4+8x 10Gbps+FibreChannel switch,GPU: Zdiel.,Vyhotovenie: 2U,OS nezávislý systém manažment,Zaruka: 2+NBD+8/5</t>
  </si>
  <si>
    <t>Typ: HP 250 G7,Proc.: 2-jadro passmark 5128,RAM: 8GB,Disk: SSD NVMe 256GB,VGA: zdiel.,Disp: FHD,OS: bez, klávesnica SK/EN,TPM,DVD,Zaruka: neuvedené</t>
  </si>
  <si>
    <t>Typ: HP 250 G7,Proc.: 2-jadro passmark 3647,RAM: 8GB,Disk: HDD SATA 1TB,VGA: zdiel.,Disp: FHD,OS: Win10, klávesnica SK/EN,TPM,DVD,Zaruka: neuvedené</t>
  </si>
  <si>
    <t>Typ: Lenovo IdeaPad S145,Proc.: 4-jadro passmark 7737,RAM: 8GB,Disk: SSD NVMe 512GB,VGA: zdiel.,Disp: FHD,OS: Win10Home, klávesnica SK/EN,TPM,Zaruka: neuvedené</t>
  </si>
  <si>
    <t>Typ: HP 15s-fq1011nc,Proc.: 4-jadro passmark 8668,RAM: 8GB,Disk: SSD NVMe 512GB,VGA: zdiel.,Disp: FHD,OS: Win10, klávesnica SK/EN,TPM,Zaruka: neuvedené</t>
  </si>
  <si>
    <t>Typ: HP Pavilion 13-an1001nc,Proc.: 4-jadro passmark 7737,RAM: 8GB,Disk: SSD NVMe 256GB,VGA: zdiel.,Disp: FHD,OS: Win10Home, klávesnica SK/EN,TPM,Zaruka: neuvedené</t>
  </si>
  <si>
    <t>Typ: HP 15-dw2003nc,Proc.: 4-jadro passmark 7737,RAM: 8GB,Disk: SSD NVMe 512GB,VGA: nVidia GeForce MX330 2GB passmark 2547,Disp: FHD,OS: Win10Home, klávesnica SK/EN,TPM,Zaruka: neuvedené</t>
  </si>
  <si>
    <t>Typ: HP 17-by3002nc,Proc.: 4-jadro passmark 7737,RAM: 8GB,Disk: SSD NVMe 512GB,VGA: zdiel.,Disp: FHD,OS: Win10Home, klávesnica SK/EN,TPM,Zaruka: neuvedené</t>
  </si>
  <si>
    <t>Typ: DELL Inspiron 13z Touch,Proc.: 4-jadro passmark 6402,RAM: 8GB,Disk: SSD NVMe 512GB,VGA: zdiel.,Disp: UHD + dotyk,OS: Win10Home, klávesnica SK/EN,TPM,Zaruka: neuvedené</t>
  </si>
  <si>
    <t>Typ: DELL Inspiron 13z 7000 Touch,Proc.: 4-jadro passmark 6837,RAM: 16GB,Disk: SSD NVMe 512GB,VGA: zdiel.,Disp: UHD + dotyk,OS: Win10Home, klávesnica SK/EN,TPM,Zaruka: neuvedené</t>
  </si>
  <si>
    <t>Typ: Lenovo ThinkPad X1 Carbon 7,Proc.: 4-jadro passmark 6359,RAM: 16GB,Disk: SSD NVMe 1000GB,VGA: zdiel.,Disp: UHD,OS: Win10Pro, klávesnica SK/EN,TPM,Zaruka: neuvedené</t>
  </si>
  <si>
    <t>Typ: HP Designjet T1700,Technologia: termálny atrament,Farba: áno,Formaty: A0,Rozhrania: USB, ethernet,RAM: 128GB,Pam. karta: HDD500GB,Zasobnik: rolka/automatická rezačka,Rozlisenie: 2400x1200dpi,Zaruka: neuvedené</t>
  </si>
  <si>
    <t>Typ: HP Designjet T650,Technologia: termálny atrament,Farba: áno,Formaty: A1,Rozhrania: USB, ethernet, wifi,RAM: 1GB,Pam. karta: bez,Zasobnik: rolka/automatická rezačka,Rozlisenie: 2400x1200dpi,Zaruka: neuvedené</t>
  </si>
  <si>
    <t>Typ: Xerox Phaser 3020Bi,Technologia: laser,Farba: nie,Formaty: A4,Rozhrania: USB,wifi,RAM: 8GB, Pam. Karta: bez,Zasobnik: 120,Rozlisenie: 1200dpi,Duplex: manuálne,Zaruka: neuvedené</t>
  </si>
  <si>
    <t>Typ: Brother HL-L2312DYJ1,Technologia: laser,Farba: nie,Formaty: A4,Rozhrania: USB,RAM: 32MB, Pam. Karta: bez,Zasobnik: 250,Rozlisenie: 1200dpi,Duplex: áno,Zaruka: neuvedené</t>
  </si>
  <si>
    <t>Typ: Brother HL-L2372DNYJ1,Technologia: laser,Farba: nie,Formaty: A4,Rozhrania: USB, ethernet,RAM: 64MB, Pam. Karta: bez,Zasobnik: 250,Rozlisenie: 1200dpi,Duplex: áno,Zaruka: neuvedené</t>
  </si>
  <si>
    <t>Typ: Xerox VersaLink C7000V_DN,Technologia: laser,Farba: áno,Formaty: A3,Rozhrania: USB, ethernet,RAM: 2GB, Pam. Karta: bez,Zasobnik: 520,Rozlisenie: 1200dpi,Duplex: áno,Zaruka: neuvedené</t>
  </si>
  <si>
    <t>Typ: HP LaserJet Enterprise 700 M712dn,Technologia: laser,Farba: nie,Formaty: A3,Rozhrania: USB, ethernet,RAM: 512MB, Pam. Karta: bez,Zasobnik: 200,Rozlisenie: 1200dpi,Duplex: áno,Zaruka: neuvedené</t>
  </si>
  <si>
    <t>Typ: Konica Bizhub C300i,Technologia: laser,Farba: áno,Formaty: A3,Rozhrania: USB, ethernet,RAM: 8GB,Pam. karta: HDD 256GB,Zasobnik: 1000,R. tlace: 1200dpi,R. kopirky: neuvedené,R. skenera: neuvedené,Duplex: áno,Zaruka: neuvedené</t>
  </si>
  <si>
    <t>Typ: Brother DCP-L2512D,Technologia: laser,Farba: nie,Formaty: A4,Rozhrania: USB,RAM: 64MB,Pam. karta: bez,Zasobnik: 250,R. tlace: 1200dpi,R. kopirky: 1200dpi,R. skenera: 1200dpi,Duplex: áno,Zaruka: neuvedené</t>
  </si>
  <si>
    <t>Typ: Canon i-SENSYS MF643Cdw,Technologia: laser,Farba: áno,Formaty: A4,Rozhrania: USB, ethernet, wifi,RAM: 1GB,Pam. karta: bez,Zasobnik: 250,R. tlace: 600dpi,R. kopirky: 1200dpi,R. skenera: 1200dpi,Duplex: áno,Zaruka: neuvedené</t>
  </si>
  <si>
    <t>Typ: Original Prusa i3 MK3S kit,TlacPriestor: 210x210x250mm,Mat: 1.75mm PLA, ABS, Nylon, TPE, HIPS, TPU, PETT, Laywood, Laybrick, PVA, FLEX, ASA,Rychl.: 200mm/s,Rozhrania: USB,Pamat: SD karta,Vyhot: stavebnica,Zaruka: neuvedené</t>
  </si>
  <si>
    <t>Typ: Original Prusa i3 MK3S,TlacPriestor: 210x210x250mm,Mat: 1.75mm PLA, ABS, Nylon, TPE, HIPS, TPU, PETT, Laywood, Laybrick, PVA, FLEX, ASA,Rychl.: 200mm/s,Rozhrania: USB,Pamat: SD karta,Vyhot: komplet,Zaruka: neuvedené</t>
  </si>
  <si>
    <t>Typ: Ultimaker S3,TlacPriestor: 230x190x200mm,Mat: 2.85 mm PLA, tough PLA, ABS, CPE, CPE+, PC, TPU95A, PP, PVA, Breakaway,Rychl.:neuvedené,Rozhrania: USB, ethernet, wifi,Pamat: neuvedené,Vyhot: komplet,Zaruka: neuvedené</t>
  </si>
  <si>
    <t>Typ: Ultimaker S5,TlacPriestor: 330x240x300mm,Mat: 2.85 mm PLA, tough PLA, ABS, CPE, CPE+, PC, TPU95A, PP, PVA, Breakaway,Rychl.:neuvedené,Rozhrania: USB, ethernet, wifi,Pamat: neuvedené,Vyhot: komplet,Zaruka: neuvedené</t>
  </si>
  <si>
    <t>Typ: ACER AOpen QH10 LED,Technol.: LED,Svetlost: 200lm,Zdroj svetla: LED,Rozlisenie: 1280x720,Kontrast: 1000:1,Rozhrania: HDMI, USB, Miracast, wifi, Jack,Zaruka: neuvedené</t>
  </si>
  <si>
    <t>Typ: Acer H6531BD,Technol.: DLP,Svetlost: 3500lm,Zdroj svetla: žiarovka s neuvedenou životnosťou,Rozlisenie: 1920x1080,Kontrast: 10000:1,Rozhrania: HDMI,USB,Zaruka: neuvedené</t>
  </si>
  <si>
    <t>Typ: Acer H6810BD,Technol.: DLP,Svetlost: 3500lm,Zdroj svetla: žiarovka s neuvedenou životnosťou,Rozlisenie: 3840x2160,Kontrast: 10000:1,Rozhrania: HDMI, USB, Jack,Zaruka: neuvedené</t>
  </si>
  <si>
    <t>Typ: Vivitek DU7295Z,Technol.: 3LCD,Svetlost: 9000lm,Zdroj svetla: laser 20000h,Rozlisenie: 1920x1200,Kontrast: 20000:1,Rozhrania: HDMI, USB, Jack,Zaruka: neuvedené</t>
  </si>
  <si>
    <t>Typ: CTOUCH Riva,Rozmer: 86",Rozlisenie: 3840x2160,Kontrast: 1200:1,Rozhrania: VGA, HDMI, DP, USB, RS232, LAN, wifi, bluetooth,OS: Android,Zaruka: neuvedené</t>
  </si>
  <si>
    <t>Typ: Wacom Intuos S Bluetooth,PracPlocha: 152x95mm,Rozlisenie: 2540LPI,Rychl.: 133pps,RozlisStylus: 4096 úrovní,Rozhrania: USB, bluetooth,Displej: bez,Zaruka: neuvedené</t>
  </si>
  <si>
    <t>Typ: Wacom Intuos M Bluetooth,PracPlocha: 216x135mm,Rozlisenie: 2540LPI,Rychl.: 133pps,RozlisStylus: 4096 úrovní,Rozhrania: USB, bluetooth,Displej: bez,Zaruka: neuvedené</t>
  </si>
  <si>
    <t>Typ: Wacom Intuos Pro M,PracPlocha: 224x148mm,Rozlisenie: 5080PI,Rychl.: 133pps,RozlisStylus: 8192 úrovní,Rozhrania: USB, bezdrôtové proprietárne,Displej: bez,Zaruka: neuvedené</t>
  </si>
  <si>
    <t>Typ: Wacom One,PracPlocha: 294x166mm,Rozlisenie: 2540PI,Rychl.: 133pps,RozlisStylus: 4096 úrovní,Rozhrania: USB, bezdrôtové proprietárne,Displej: 13.3" 1920x1080 1000:1,Zaruka: neuvedené</t>
  </si>
  <si>
    <t>Typ: HTC Vive Pro,Rozsah: 110°,Displej: AMOLED 3.5",Rozlisenie: 2880x1600,Frekv.: 90Hz,Rozhrania: DP, USB-C, Bluetooth, SteamVR,Zaruka: neuvedené</t>
  </si>
  <si>
    <t>Typ: HTC Vive Cosmos,Rozsah: 110°,Displej: LCD 3.4",Rozlisenie: 2880x1700,Frekv.: 90Hz,Rozhrania: DP, USB-C, Bluetooth,Zaruka: neuvedené</t>
  </si>
  <si>
    <t>Typ: HTC Vive Cosmos Elite,Rozsah: 110°,Displej: LCD 3.4",Rozlisenie: 2880x1700,Frekv.: 90Hz,Rozhrania: DP, USB-C, Bluetooth, SteamVR,Gyroskop,Zaruka: neuvedené</t>
  </si>
  <si>
    <t>Typ: HTC Vive Pro Full Kit,Rozsah: 110°,Displej: AMOLED 3.5",Rozlisenie: 2880x1600,Frekv.: 90Hz,Rozhrania: DP, USB-C, Bluetooth, SteamVR,vrátane ovládača a príslušenstva,Zaruka: neuvedené</t>
  </si>
  <si>
    <t>Typ: GoodRAM CL11,Druh: DIMM,Kapacita: 4GB,Generacia: DDR3,Frekv.: 1600MHz,Zaruka: neuvedené</t>
  </si>
  <si>
    <t>Typ: GoodRAM CL11,Druh: DIMM,Kapacita: 8GB,Generacia: DDR3,Frekv.: 1600MHz,Zaruka: neuvedené</t>
  </si>
  <si>
    <t>Typ: Adata Premier CL19,Druh: DIMM,Kapacita: 4GB,Generacia: DDR4,Frekv.: 2666MHz,Zaruka: neuvedené</t>
  </si>
  <si>
    <t>Typ: Transcend CL19,Druh: DIMM,Kapacita: 8GB,Generacia: DDR4,Frekv.: 2666MHz,Zaruka: neuvedené</t>
  </si>
  <si>
    <t>Typ: Toshiba HDD P300,Vyhot.: interný,Kapacita: 1TB,Rozmer: 3,5",Druh: HDD7200,Rozhranie: SATA 6Gb/s,Cache: 64MB,Zaruka: neuvedené</t>
  </si>
  <si>
    <t>Typ: Toshiba HDD P300,Vyhot.: interný,Kapacita: 2TB,Rozmer: 3,5",Druh: HDD7200,Rozhranie: SATA 6Gb/s,Cache: 64MB,Zaruka: neuvedené</t>
  </si>
  <si>
    <t>Typ: Toshiba HDD P300,Vyhot.: interný,Kapacita: 4TB,Rozmer: 3,5",Druh: HDD5400,Rozhranie: SATA 6Gb/s,Cache: 128MB,Zaruka: neuvedené</t>
  </si>
  <si>
    <t>Typ: Toshiba HDD P300,Vyhot.: interný,Kapacita: 6TB,Rozmer: 3,5",Druh: HDD5400,Rozhranie: SATA 6Gb/s,Cache: 128MB,Zaruka: neuvedené</t>
  </si>
  <si>
    <t>Typ: Toshiba HDD X300,Vyhot.: interný,Kapacita: 8TB,Rozmer: 3,5",Druh: HDD7200,Rozhranie: SATA 6Gb/s,Cache: 256MB,Zaruka: neuvedené</t>
  </si>
  <si>
    <t>Typ: Verbatim SSD Vi550 S3,Vyhot.: interný,Kapacita: 128GB,Rozmer: 2.5",Druh: SSD,Rozhranie: SATA 6Gb/s,Cache: bez,Zaruka: neuvedené</t>
  </si>
  <si>
    <t>Typ: Samsung 860 EVO,Vyhot.: interný,Kapacita: 250GB,Rozmer: 2.5",Druh: SSD,Rozhranie: SATA 6Gb/s,Cache: bez,Zaruka: neuvedené</t>
  </si>
  <si>
    <t>Typ: WD BLUE SSD,Vyhot.: interný,Kapacita: 500GB,Rozmer: 2.5",Druh: SSD,Rozhranie: SATA 6Gb/s,Cache: bez,Zaruka: neuvedené</t>
  </si>
  <si>
    <t>Typ: WD GREEN SSD,Vyhot.: interný,Kapacita: 240GB,Rozmer: karta,Druh: SSD,Rozhranie: NVMe,Cache: bez,Zaruka: neuvedené</t>
  </si>
  <si>
    <t>Typ: WD GREEN SSD,Vyhot.: interný,Kapacita: 480GB,Rozmer: karta,Druh: SSD,Rozhranie: NVMe,Cache: bez,Zaruka: neuvedené</t>
  </si>
  <si>
    <t>Typ: CRONO CROPS400P/Gen2,Vyhot.: ATX,Vykon: 400W,Zaruka: neuvedené</t>
  </si>
  <si>
    <t>Typ: CHIEFTEC Value APB-500B8,Vyhot.: ATX,Vykon: 500W,Zaruka: neuvedené</t>
  </si>
  <si>
    <t>Typ: 1stCOOL WHITE STORM 700,Vyhot.: ATX,Vykon: 700W,Zaruka: neuvedené</t>
  </si>
  <si>
    <t>Zmluva na dodávku, inštaláciu, konfiguráciu a migráciu technologického zariadenia Oracle ExaData, licenčného softvérového vybavenia Oracle a na poskytovanie technickej podpory prevádzkovaného technologického prostredia Oracle.</t>
  </si>
  <si>
    <t>https://crz.gov.sk/4382622</t>
  </si>
  <si>
    <t>https://www.crz.gov.sk/data/att/4382626_dokument1.pdf</t>
  </si>
  <si>
    <t>Typ: Oracle ExaData X8M Quarter Rack,Proc.: 3 DB servery každý 2x Intel Xeon Platinum 8260 24-core 48-thread 2.4GHz passmark 52110 + 2 storage servery každý 2x Intel Xeon 5218 16-core 32-thread 2.3 GHz passmark 22117,RAM: 3x 384GB pre DB servery + 2x 192GB pre storage servery,Disk: DB servery HDD 4x 1.2TB SAS 10000 hotswap + storage servery 12x 14TB SAS 7200hotswap + 25.6 TB flash PCIe + 12x 128/GB Intel Optane DC persistent memory,Radic: 2GB RAID,Ethernet: DB servery 2x 10Gbps + 2x 10/25Gbps + 2x InfiniBand 100Gbps + storage servery 1x 1Gbps + 2x 100Gbps RoCE,GPU: Zdiel.,Rack: 42U,Servery: 2xDB+3xStorage+GRID,Priepustnost: 5.4 GB/s na disk+75GB/s flash,Cache: 76.8TB flash,Switch: Cisco Infiniband 2x 36-port,manažment konzola,Zaruka: 2+8hod_oprava</t>
  </si>
  <si>
    <t>Typ: Oracle ExaData X8M Eighth Rack,Proc.: 3 DB servery každý 2x Intel Xeon Platinum 8260 24-core 48-thread 2.4GHz passmark 52110 + 2 storage servery každý 2x Intel Xeon 5218 16-core 32-thread 2.3 GHz passmark 22117,RAM: 3x 384GB pre DB servery + 2x 192GB pre storage servery,Disk: DB servery HDD 4x 1.2TB SAS 10000 hotswap + storage servery 6x 14TB SAS 7200hotswap + 12.8 TB flash PCIe + 12x 128/GB Intel Optane DC persistent memory,Radic: 2GB RAID,Ethernet: DB servery 2x 10Gbps + 2x 10/25Gbps + 2x InfiniBand 100Gbps + storage servery 1x 1Gbps + 2x 100Gbps RoCE,GPU: Zdiel.,Rack: 42U,Servery: 2xDB+3xStorage+GRID,Priepustnost: 2.7 GB/s na disk,Cache: 38.4TB flash,Switch: Cisco Infiniband 2x 36-port,manažment konzola,Zaruka: 2+4hod_oprava</t>
  </si>
  <si>
    <t>Kúpna zmluva č. SE-VO2-2021/003692-002</t>
  </si>
  <si>
    <t>https://crz.gov.sk/zmluva/5980002</t>
  </si>
  <si>
    <t>https://www.crz.gov.sk/data/att/3025163.pdf</t>
  </si>
  <si>
    <t>Typ: HP Z6 G4,Proc: 2x passmark 18707,RAM: 32GB,Disk: SSD 2x NVMe 512GB RAID+HDD 10 TB,VGA: nezdiel nVidia 4GB GDDR6,OS: Win10Pro,klávesnica,myš,BlueRay,Zaruka: 3</t>
  </si>
  <si>
    <t>Typ: Apple Mac Pro Tower Desktop Computer,Proc: 8-core bližšie nešpec.,RAM: 16GB,Disk: SSD NVMe 512GB,VGA: nezdiel 8GB GDDR6,OS: macOS Catalina,klávesnica,myš,Zaruka: 3</t>
  </si>
  <si>
    <t>Typ: HP ProDesk 600 G6,Proc: passmark 9500,RAM: 8GB,Disk: SSD NVMe 512GB,VGA: nezdiel passmark 16463,OS: Win10Pro,klávesnica,myš,DVD,Zaruka: 3</t>
  </si>
  <si>
    <t>Typ: HP Zbook Fury 17 G7,Proc.: passmark 17310,RAM: 32GB,Disk: SSD NVMe 512GB,VGA: 8GB passmark 16437.,Disp: FHD,OS: Win10Pro, klávesnica SK/EN,TPM,Zaruka: 3</t>
  </si>
  <si>
    <t>Typ: HP Zbook Fury 17 G7,Proc.: passmark 16088,RAM: 16GB,Disk: SSD NVMe 512GB,VGA: passmark 6548.,Disp: FHD,OS: Win10Pro, klávesnica SK/EN,TPM,Zaruka: 3</t>
  </si>
  <si>
    <t>Typ: Apple MacBook Pro 16,Proc.: 6-core bližšie nešpec.,RAM: 16GB,Disk: SSD NVMe 512GB,VGA: 4GB GDDR6.,Disp: FHD,OS: macOS Catalina, klávesnica SK/EN,TPM,Zaruka: 3</t>
  </si>
  <si>
    <t>Typ: HP P27h G4,Rozlisenie: 1920x1080,Frekv: 60 Hz,Velkost: 27",Kontrast: 1000:1,Vstupy: VGA, DP, HDMI,matný,Zaruka: 3</t>
  </si>
  <si>
    <t>Typ: Iiyama ProLite TE8604MIS-B1AG,Rozlisenie: 3840x2160,Frekv: 60 Hz,Velkost: 84",Kontrast: neuvedené,Vstupy: VGA, HDMI, USB, LAN,matný,Zaruka: 3</t>
  </si>
  <si>
    <t>Typ: Xerox VersaLink C505V/S,Technologia: laser,Farba: áno,Formaty: A4,Rozhrania: USB, ethernet,RAM: 4GB,Pam. karta: bez,Zasobnik: 500,R. tlace: 1200dpi,R. kopirky: 600dpi,R. skenera: 600dpi,Duplex: áno,Zaruka: 3</t>
  </si>
  <si>
    <t>Typ: Xerox VersaLink B7035,Technologia: laser,Farba: áno,Formaty: A3,Rozhrania: USB, ethernet,RAM: 2GB,Pam. karta: bez,Zasobnik: 500,R. tlace: 1200dpi,R. kopirky: 600dpi,R. skenera: 600dpi,Duplex: áno,fax,Zaruka: 3</t>
  </si>
  <si>
    <t>Typ: Zortrax M200 Plus,TlacPriestor: 200x200x180mm,Mat: 1.75mm bližšie neurčené,Rychl.: neuvedené,Rozhrania: USB, ethernet, wifi,Pamat: neuvedené,Vyhot: komplet,Zaruka: 3</t>
  </si>
  <si>
    <t>Typ: EPSON Perfection V19, Format: A4, Rozlisenie: 4800dpi, Zasobnik: nie,Zaruka: 2</t>
  </si>
  <si>
    <t>Typ: Legrand UPS KEOR LINE RT 310046,Spinanie: Line-ineractive,Vykon: 1500VA,Vyhot.: tower/rackmount,Zaruka: 2</t>
  </si>
  <si>
    <t>Typ: HP,Vyhot.: interný,Kapacita: 1TB,Rozmer: 2.5",Druh: HDD7200,Rozhranie: SAS,Cache: neuvedené,Zaruka: 2</t>
  </si>
  <si>
    <t>Typ: QNAP TS-230,Technol.: SATA,Radic: RAID1+JBOD,Cache: 2GB,Disky: 2x 8TB,Porty: 1x 1Gbps, USB,Vyhotovenie: neuvedené,Zaruka: 2</t>
  </si>
  <si>
    <t>Typ: Verbatim SlimLine,Vyhot.: externá,Media: BlueRay, CD, CD-R, CD-RW, DVD, DVD-RW, DVD-R+, DVD-R-,Rychlost: 8x DVD+6x BR,Rozhranie: USB-C,Zaruka: 2</t>
  </si>
  <si>
    <t>Typ: C-TECH WM-07,Technol.: optická drôtová,Rozlisenie: 1200DPI,Rozhranie: USB,Zaruka: 2</t>
  </si>
  <si>
    <t>Typ: Natec Trout,Pripoj.: drôtová,Rozlozenie: SK,Rozhranie: USB,Zaruka: 2</t>
  </si>
  <si>
    <t>Typ: Raspberry Pi 4 Model B,Proc: 4-core ARM,RAM: 8GB,Disk: SD karta 32GB class10,VGA: zdiel.,OS: bez,Zaruka: 2</t>
  </si>
  <si>
    <t>Typ: SanDisk Extreme Pro SDHC,Kapacita: 32GB,Rychlost: UHS-I/U3,Zaruka: 2</t>
  </si>
  <si>
    <t>Typ: Axagon HUE-S2BP,Porty: 4x USB 3.0,Napajanie:externé,Vypinanie: nie,Zaruka: 2</t>
  </si>
  <si>
    <t>Typ: Verbatim Store'n go slider,Kapacita: 128GB,Rozhranie: USB 2.0,Zaruka: 2</t>
  </si>
  <si>
    <t>Typ: Synology DiskStation DS1520+,Technol.: SATA,Radic: RAID1/5/JBOD,Cache: 8GB RAM,Disky: 5x 10TB SATA 7200,Porty: 5 SATA,Vyhotovenie: na stôl,4x1Gb LAN,vzdialený prístup, Zaruka: 2 roky</t>
  </si>
  <si>
    <t>Typ: Akasa AK-CR-06BK,Podp. karty: CF, MS, SD, MicroSD,Rozhranie: USB 3.0,Zaruka: 2</t>
  </si>
  <si>
    <t>Kúpna zmluva č.30/2019/FN</t>
  </si>
  <si>
    <t>https://crz.gov.sk/4117630</t>
  </si>
  <si>
    <t>https://www.crz.gov.sk/data/att/4117637_dokument1.pdf, https://www.crz.gov.sk/data/att/4117637_dokument.pdf, https://www.crz.gov.sk/data/att/4117646_dokument1.pdf</t>
  </si>
  <si>
    <t>Typ: 36U G2 Kitted Advanced Shock Rack with Side Panels and Baying , Vyska: 36U, Zaruka: neuvedené</t>
  </si>
  <si>
    <t>Typ: Zabezpečenie konektivity - 4x DMZ, 2xWAN, 4 x OPT, Switch: 48x 1Gbps RJ 45 port, 4x SFP 100/1000 Mbps</t>
  </si>
  <si>
    <t xml:space="preserve">Typ: EATON UPS 1/1fáza, 3000VA,Vykon: 2700W, Zaruka: 3 </t>
  </si>
  <si>
    <t>Typ: Patch panel Cat. 6e, 24x RJ 45,Vyska: 1U, Zaruka: neuvedené</t>
  </si>
  <si>
    <t>Typ: DL380 Gen10 8SFF CTO Server,Proc.: 2x Intel Xeon-Gold 6134 (3.2GHz/8-core/130W),RAM: 4 x 32 GBRAM,Disk:  2x HPE 240GB SATA SSD disk, 7 x HPE 1.2TB SAS 12G Enterprise 10K SFF, Zaruka: neuvedené</t>
  </si>
  <si>
    <t>Rámcová zmluva o dodávke výpočtovej techniky, softvérových licencií a súvisiacich službách</t>
  </si>
  <si>
    <t>https://crz.gov.sk/zmluva/5836528</t>
  </si>
  <si>
    <t>https://www.crz.gov.sk/data/att/2937736.pdf, https://www.crz.gov.sk/data/att/2937741.pdf</t>
  </si>
  <si>
    <t>Typ: IBM FlashSystem 5200, Veľkosť:3U, Napájanie:jednofázové redundantné do 250V, Zaruka:neuvedené</t>
  </si>
  <si>
    <t>Typ: IMB FlashSystem 5035, Veľkosť:4U, Napájanie: jednofázové redundantné do 250V, Zaruka:neuvedené</t>
  </si>
  <si>
    <t>Typ: IBM Spectrum Protect Suite Front End, Kapacita:20 TB, Funkcionalota: Vytváranie úplných, inkrementálnych záloh súborových systémov a databáz, Zaruka:neuvedené</t>
  </si>
  <si>
    <t>Typ: 4662-AGT4,Vyhot.: interný,Kapacita: 7.68TB,Rozmer: karta,Druh: Flash disk,Rozhranie: NVMe,Cache: neuvedené,Zaruka:neuvedené</t>
  </si>
  <si>
    <t>Typ: 4662-AL6B,Kapacita: 2,4TB,Zaruka:neuvedené</t>
  </si>
  <si>
    <t>Typ: 4662-AL3A, Kapacita:6TB,Počer:20ks NLSAS diskov,Zaruka:neuvedené</t>
  </si>
  <si>
    <t>zmluva o dielo</t>
  </si>
  <si>
    <t>https://crz.gov.sk/3837591</t>
  </si>
  <si>
    <t>https://www.crz.gov.sk/data/att/3837592_dokument1.pdf</t>
  </si>
  <si>
    <t>Typ: AR3340, Vyska:42U,Zaruka:2</t>
  </si>
  <si>
    <t>Typ: AR3300, Vyska:42U,Zaruka:2</t>
  </si>
  <si>
    <t>Typ: Vertical Fiber Organizer,Zaruka:2</t>
  </si>
  <si>
    <t>Typ: Vertical Fiber Organizer NetShelter SX, Vyska:42U,Zaruka:2</t>
  </si>
  <si>
    <t>Rámcová dohoda - Výkon servisnej činnosti a opráv technologickej časti tunela Bôrik, pojazdu Lučivná a ISD D1 Važec - Mengusovce - Jánovce, I., II. a III. úsek pre stredisko Mengusovce</t>
  </si>
  <si>
    <t>https://crz.gov.sk/3917692</t>
  </si>
  <si>
    <t>https://www.crz.gov.sk/data/att/3917693_dokument1.pdf</t>
  </si>
  <si>
    <t>Typ: Intel Core 2 Duo and 2 Quad Proc.,Zaruka:2</t>
  </si>
  <si>
    <t>Typ: HP 146GB 15k hot swap,Zaruka:2</t>
  </si>
  <si>
    <t>Typ:HDD 500GB,Zaruka:2</t>
  </si>
  <si>
    <t>Kúpna zmluva č. OVO2-2018/000019-030</t>
  </si>
  <si>
    <t>https://crz.gov.sk/3888033</t>
  </si>
  <si>
    <t>https://crz.gov.sk/data/att/3888035_dokument1.pdf</t>
  </si>
  <si>
    <t>Typ:Tower(veža) Proc.:14-jadro passmark 19867, RAM:64 GB,Disk: SSD 2x 512GB + SSD 1TB + HDD 5x 4TB 7200rpm, VGA: Zdiel,Zdroj: 1100W, Zaruka:3</t>
  </si>
  <si>
    <t>Typ: Velkost: 23,8", Rozlisenie: 1920x1080 16:9, Frekv.: 60Hz, Odozva: 5ms, Zaruka:3</t>
  </si>
  <si>
    <t>Typ: neuvedené, Proc.: 4-jadro passmark 9405, RAM: 32GB, Disk: SSD 512GB, Disp: FHD,Kapacita batérie:90 Wh, Zaruka:3</t>
  </si>
  <si>
    <t>Typ: externý, Formát:2,5", Kapacita:4000 GB, Rozhranie: USB 3,3.1, Zaruka:2</t>
  </si>
  <si>
    <t>Typ: externý, Formát: 3,5", Kapacita:8000 GB, Rozhranie: USB 3,3.1, Zaruka:2</t>
  </si>
  <si>
    <t>Typ: interný, Formát: 2,5", Kapacita: 300 GB, Rýchlosť otáčania: 10k rpm, Zaruka:2</t>
  </si>
  <si>
    <t>Typ: interný, Formát: 3,5", Kapacita: 750 GB, Rýchlosť otáčania: 7 200 rpm, Zaruka:2</t>
  </si>
  <si>
    <t>Typ: interný, Formát: 2,5", Kapacita: 2 TB, Rýchlosť otáčania: 5400 rpm, Zaruka:2</t>
  </si>
  <si>
    <t>Typ: Rozhranie: 3.0, Rýchlosť čítania: 130 MB/s, Kapacita: 128 GB, Zaruka:2</t>
  </si>
  <si>
    <t>Typ: Rozhranie: 3.0, Rýchlosť čítania: 350 MB/s,Rýchlosť zápisu: 250 MB/s, Kapacita: 256 GB, Zaruka:2</t>
  </si>
  <si>
    <t>Typ: Prevedenie: Micro SDHC, Kapacita:8 GB, Rýchlosť čítania: 4 MB/s, Rýchlosť zápisu: 4MB/s, Zaruka:2</t>
  </si>
  <si>
    <t>Typ: Prevedenie: Compact Flash, Kapacita:32 GB, Rýchlosť čítania: 160 MB/s, Rýchlosť zápisu: 150 MB/s, Zaruka:2</t>
  </si>
  <si>
    <t>Typ: Prevedenie: Micro SCXC, Kapacita:256 GB, Rýchlosť čítania: 100 MB/s, Zaruka:2</t>
  </si>
  <si>
    <t>Typ: Prevedenie: SDCX, Kapacita:128 GB, Rýchlosť čítania: 100 MB/s, Zaruka:2</t>
  </si>
  <si>
    <t>Typ: kábel, Prevedenie: USB 3.0, Rýchlosť prenosu dát: 10Gbps, Dĺžka kábla: 0,15m, Zaruka:2</t>
  </si>
  <si>
    <t>Typ: USB Hub, Počet portov: 7, Rýchlosť prenostu: 5Gbps, Zaruka:2</t>
  </si>
  <si>
    <t>Typ: Prevedenie: bezdrôtové, Senzor: optický, Rozlisenie: 1000 dpi, Počet tlačidiel: 3, Zaruka: 2</t>
  </si>
  <si>
    <t>Typ: Prevedenie: drôtové, Senzor: optický, Rozlisenie: 3200 dpi, Dĺžka kábla: 1,8m, Zaruka: 2</t>
  </si>
  <si>
    <t>Typ: Napalovačka, Prevedenie: slimline,externá, Formáty: Blue-ray, DVD, CD, Zaruka:2</t>
  </si>
  <si>
    <t>Typ: Tvar: USB kľúč, Rýchlosť prenosu: 150Mb/s, Zaruka: 2</t>
  </si>
  <si>
    <t>Typ: Skutočný výkon: 1800W, Zdanlivý výkon vo VA: 2000, Zaruka: 2</t>
  </si>
  <si>
    <t>Typ: Zariadenie slúžiace na vyhotovenie image diskov, Zdrojové porty: SATA, USB3, PCIe, SAS, FireWire 800, IDE, Zaruka: 2</t>
  </si>
  <si>
    <t>Typ: Kábel, Materiál: kevlarové vlákno, Dĺžka kábla: 1,2m, Certifikácia: MFI certifikácia, Zaruka: 2</t>
  </si>
  <si>
    <t>Typ: Multi adaptér na notebooky, Vstupný výkon: 90W, Zaruka: 2</t>
  </si>
  <si>
    <t>Zmluva o dielo</t>
  </si>
  <si>
    <t>https://crz.gov.sk/3850157</t>
  </si>
  <si>
    <t>https://www.crz.gov.sk/data/att/3850163_dokument1.pdf</t>
  </si>
  <si>
    <t>Typ: 12U, Rozmery: 600x600mm,Zaruka: 3</t>
  </si>
  <si>
    <t>Typ: 24U, Rozmery: 600x600mm,Zaruka: 3</t>
  </si>
  <si>
    <t>Typ: 42U, Rozmery: 800x800mm,Zaruka: 3</t>
  </si>
  <si>
    <t>Typ: Osadený modulárny patch panel 24xRJ45, Veľkosť: 1U,Zaruka: 3</t>
  </si>
  <si>
    <t>Typ: Vyväzovací panel 19", Výška: 1U,Zaruka: 3</t>
  </si>
  <si>
    <t>Typ: Priepustnosť: 80Gbps, Výška: 1U, Počet portov: 48,Zaruka: 3</t>
  </si>
  <si>
    <t>Typ: Počet portov: 24, Prepínacia kapacita: 640Gbps,Zaruka: 3</t>
  </si>
  <si>
    <t>Typ: Počet portov: 48, Prepínacia kapacita: 175Gbps,Zaruka: 3</t>
  </si>
  <si>
    <t>Typ: Počet portov: 24, Prepínacia kapacita: 88Gbps,Zaruka: 3</t>
  </si>
  <si>
    <t>Typ: RAM: 16GB,Proc.: passmark 12000, Kapacita: 512GB SSD,Zaruka: 3</t>
  </si>
  <si>
    <t>Typ: Velkost: 40", Rozlisenie: 3840x2160,Zaruka: 3</t>
  </si>
  <si>
    <t>Typ: Pásma 5Ghz/ 2,4Ghz, VLAN: áno, Počet SSID: 4, MIMO: 3x3 v pásme 2,4GHz, Podporované štandardy: 802.11 a/ b/ g/ n, Zabezpečenie: WEP, WPA-PSK, WPA-TKIP, WPA2 AES,Zaruka: 3</t>
  </si>
  <si>
    <t>Kúpna zmluva SE-VO2-2021/002258-016</t>
  </si>
  <si>
    <t>https://crz.gov.sk/zmluva/5827349</t>
  </si>
  <si>
    <t>https://www.crz.gov.sk/data/att/2932030.pdf</t>
  </si>
  <si>
    <t>Typ: HP EliteDesk 800 Small Form Factor, Proc.: Intel Core i3 10300 3.7GHz 4C 65W 4 jadrá passmark 9351, RAM: 8GB,Disk: SSD 256GB,VGA: Zdiel, Zdroj: 260W , Zaruka: 3</t>
  </si>
  <si>
    <t>Typ: HP ProBook 650G8, Proc.: 2-jadro Intel Core i3 - 1115G4 3GHz  passmark 4100, RAM: 8GB, Disk: SSD 256GB, VGA: Zdiel., Disp: FHD,Zaruka: 3</t>
  </si>
  <si>
    <t>Typ: HP EliteBook 840 G8, Proc.: 4-jadro Intel Core i5 - 1135G7  passmark 10029, RAM: 8GB, Disk: SSD 256GB,VGA: Zdiel., Disp: FHD, Zaruka: 3</t>
  </si>
  <si>
    <t>Typ: HP EliteBook 830 G8,Proc.: neuvedene,RAM: neuvedene,Disk: SSD 512GB, VGA: Zdiel,Disp: FHD, Zaruka: 3</t>
  </si>
  <si>
    <t>Typ: HP 243m, Velkost: 23,8", Jas: 250 cd/m2, Kontrast: 1000:1 staticky, Odozva: 5ms, Rozlisenie: 1920x1080px, Frekv.: 60Hz, Zaruka: 3</t>
  </si>
  <si>
    <t>Typ: HP 273m, Velkost: 27", Jas: 250 cm/m2, Kontrast: 1000:1 staticky, Odozva: 5ms, Rozlisenie: 1920x1080px, Frekv.: 60Hz, Zaruka: 3</t>
  </si>
  <si>
    <t>Typ: HP LaserJet Pro M404dn, Technologia: laser/atrament, Farba: nie, Format: A4, Kapacita zásobníka: 250 listov, Zaruka: 3</t>
  </si>
  <si>
    <t>Typ: HP Cool LaserJet Pro M479fdn, Funkcie: skener kopírka tlač, Format: A4, Technologia: laser, Farba: ano, Kapacita zásobníka: 250 listov, Zaruka: 3</t>
  </si>
  <si>
    <t>Kúpna zmluva č. 2019/227 výpočtová technika a periféria</t>
  </si>
  <si>
    <t>https://crz.gov.sk/4143956</t>
  </si>
  <si>
    <t>https://www.crz.gov.sk/data/att/4143958_dokument1.pdf</t>
  </si>
  <si>
    <t xml:space="preserve">Typ: HP EliteDesk 705 G4, Proc.: 4-jadro AMD PRO A10 9700 3.5 GHz Quad Core 65W  passmark 5677, RAM: 4GB,Disk: HDD 500GB 7200rpm, VGA: Zdiel,Zdroj: 180W, Zaruka: 5 </t>
  </si>
  <si>
    <t>Typ: HP EliteDesk 705 G4, Proc.: AMD Ryzen3 Pro 1300 3.5 GHz Quad Core 4 jadrá 8MB cache passmark 8300, RAM: 8GB,Disk: SSD 256GB,VGA: Zdiel,Zdroj: 180W, Zaruka: 5</t>
  </si>
  <si>
    <t>Typ: HP EliteDesk 800 G4, Proc.: Intel i7-7700 8 jadier 8MB cache passmark 10756, RAM: 8GB,Disk: SSD 256GB,VGA: nezdiel 2GB AMD Radeon R7 430 passmark 1411,Zdroj: 250W, Zaruka: 5</t>
  </si>
  <si>
    <t>Typ: HP Probook 650g4, Proc.: 8-jadro Intel i5-8250U  6MB cache passmark 7673, RAM: 4GB DDR4 2400 rozšíriteľná na 32GB, Disk: HDD 500GB 7200 rpm,VGA: Zdiel, Disp: FHD, Zaruka: 5</t>
  </si>
  <si>
    <t>Typ: HP Probook 650g4, Proc.: 8-jadro Intel i5-8250U 6MB cache passmark 7673, RAM: 4GB DDR4 2400 rozšíriteľná na 32GB, Disk: SSD 256GB,VGA: Zdiel, Disp: FHD, Zaruka: 5</t>
  </si>
  <si>
    <t>Typ: HP EliteBook 840r, Proc.: 8-jadro Intel i5-8250U  6MB cache passmark 7673, RAM: 4GB DDR4 2400 rozšíriteľná na 32GB, Disk: HDD 500GB 7200 rpm,VGA: Zdiel, Disp: FHD, Zaruka: 5</t>
  </si>
  <si>
    <t>Typ: Lenovo ThinkPad T480,Proc.: 8-jadro Intel i5-8250U 6MB cache passmark 7673, RAM: 8GB DDR4 2400 rozšíriteľná na 32GB, Disk: SSD 256GB,VGA: Zdiel,Disp: FHD, Zaruka: 5</t>
  </si>
  <si>
    <t>Typ: HP Probook 650 G4, Proc.: 8-jadro Intel i7-8650U  8MB cache passmark 8920, RAM: 16GB DDR4 2400 rozšíriteľná na 32GB, Disk: SSD 256GB,VGA: Zdiel,Disp: FHD, Zaruka: 5</t>
  </si>
  <si>
    <t>Typ: HP EliteDisplay E243, Velkost: 23,8" LED 16:9, Jas: 250cd/m2, Kontrast: 1000:1 staticky, Odozva: 5ms, Rozslíšenie obrazovky: 1920x1080, Frekv.: 60Hz, Zaruka: 5</t>
  </si>
  <si>
    <t>Typ: HP EliteDisplay E243i, Velkost: 24" LED 16:10, Jas: 300cd/m2, Kontrast: 1000:1 staticky, Odozva: 5ms, Rozlisenie: 1920x1200, Frekv.: 60Hz, Zaruka: 5</t>
  </si>
  <si>
    <t>Typ: HP Z24n G2, Velkost: 24" LED 16:10, Jas: 300cd/m2, Kontrast: 1000:1 staticky: Odozva: 5,8 ms, Rozlisenie: 1920x1200, Frekv.: 60Hz, Zaruka: 5</t>
  </si>
  <si>
    <t>Typ: HP Z27n G2, Velkost: 27" LED 16:10, Jas: 300cd/m2, Kontrast: 1000:1 staticky, Odozva: 5,3 ms, Rozlisenie: 2560x1440, Frekv.: 60HZ, Zaruka: 5</t>
  </si>
  <si>
    <t>Typ: HP LaserJet Pro M404dn, Technologia: laser, Farba: nie, Format: A4, Rozlisenie: 1200 dpi, Vstupná kapacita zásobníka: 250 listov, Rýchlosť tlače: 38 listov/minúta, Zaruka: 5</t>
  </si>
  <si>
    <t>Typ: HP LaserJet Pro MFP M428fdn, Technologia: laser, Farba: nie, Format: A4, Rozlisenie 1200 dpi, Skener: áno,  Vstupná kapacita zásobníka: 250 listov, Rýchlosť tlače: 38 listov/minúta, Zaruka: 5</t>
  </si>
  <si>
    <t>Typ: HP PageWide Pro 477dw MFP, Technologia: atrament, Farba: ano, Format: A4, Rozlisenie 600 dpi, Skener: áno, Vstupná kapacita zásobníka: 300 listov, Rýchlosť tlače: 40 listov/minúta, Zaruka: 5</t>
  </si>
  <si>
    <t>Typ: HP PageWide Enteprise Color MFP 586dn, Technologia: atrament, Farba: ano, Format: A4, Rozlisenie 1200 dpi, Rozlisenie 600 dpi, Skener: áno, Vstupná kapacita zázobíka: 500 listov, Rýchlosť tlače: 50 listov/minúta, Zaruka: 5</t>
  </si>
  <si>
    <t>Typ: HP PageWide Color MFP 779dn, Technologia: atrament, Farba: ano,Format: A3, Rozlisenie: 600 dpi, Skener: áno, Vstupná kapacita zásobníka: 550 listov, Rýchlosť tlače: 65 listov/minúta, Zaruka: 5</t>
  </si>
  <si>
    <t>Kúpna zmluva č. 2019/257 - Výpočtová technika a periférié</t>
  </si>
  <si>
    <t>https://crz.gov.sk/4368008</t>
  </si>
  <si>
    <t>https://www.crz.gov.sk/data/att/4368013_dokument1.pdf</t>
  </si>
  <si>
    <t>Typ: Lenovo ThinkStation P520, Proc.: 16-jadro passmark 19773, RAM: 16GB,Disk: SSD 256GB + HDD 1TB 7200 rpm,VGA: nezdiel Nvidia Quadro P4000 8GB passmark 10466,Zdroj: 900W, Zaruka: 5</t>
  </si>
  <si>
    <t>Typ: HP Probook 650 G5, Proc.: 8-jadro Intel i5-8265U  6MB cache passmark 7987, RAM: 4GB DDR4 2400 rozšíriteľná na 32GB, Disk: HDD 500GB 7200 rpm,VGA: Zdiel,Disp: FHD, Zaruka: 5</t>
  </si>
  <si>
    <t>Typ: HP Probook 650 G5, Proc.: 8-jadro Intel i5-8265U 6MB cache passmark 7987, RAM: 8GB DDR4 2400 rozšíriteľná na 32GB, Disk: SSD 256GB,VGA: Zdiel,Disp: FHD, Zaruka: 5</t>
  </si>
  <si>
    <t>Typ: HP EliteBook 840 G6, Proc.: 8-jadro Intel i5-8265U 6MB cache passmark 7987, RAM: 8GB DDR4 2400 rozšíriteľná na 32GB, Disk: SSD 512GB,VGA: Zdiel,Disp: FHD, Zaruka: 5</t>
  </si>
  <si>
    <t>Typ: HP Probook 650 G5, Proc.: 8-jadro Intel i7-8665U 8MB cache passmark 9072, RAM: 16GB DDR4 2400 rozšíriteľná na 32GB, Disk: SSD 256GB,VGA: Zdiel,Disp: FHD, Zaruka: 5</t>
  </si>
  <si>
    <t>Typ: HP EliteDisplay E243, Velkost: 23,8" LED 16:9, Jas: 250cd/m2, Kontrast: 1000:1 staticky, Odozva: 5ms,Rozlisenie: 1920x1080, Frekv.: 60Hz, Zaruka: 5</t>
  </si>
  <si>
    <t>Typ: HP PageWide Pro 452dw, Technologia: atrament, Farba: ano, Format: A4, Rozlisenie: 600 dpi, Vstupná kapacita zásobníka: 500 listov, Rýchlosť tlače: 40 listov/minúta, Zaruka: 5</t>
  </si>
  <si>
    <t>Typ: HP Color LaserJet Enterprise M553dn, Technologia: laser, Farba: ano, Fromát tlače: A4, Rozlisenie 1200 dpi, Vstupná kapacita zásobníka: 550 listov, Rýchlosť tlače: 38 listov/minúta, Zaruka: 5</t>
  </si>
  <si>
    <t>Typ: HP LaserJet Pro MFP M428fdn, Technologia: laser, Farba: mono, Format: A4, Rozlisenie 1200 dpi, Skener: áno,  Vstupná kapacita zásobníka: 250 listov, Rýchlosť tlače: 38 listov/minúta, Zátuka: 5</t>
  </si>
  <si>
    <t>Typ: HP PageWide Enterprise 780dn, Technologia: atrament, Farba: ano, Format: A3, Rozlisenie 1200 dpi, Skener: áno, Vstupná kapacita zásobníka: 550 listov, Rýchlosť tlače: 65 listov/minúta, Zaruka: 5</t>
  </si>
  <si>
    <t>Typ: HP Color LaserJet Enterprise MFP M880z Flow, Technologia: laser, Farba: ano, Fromát papiera: A3, Rozlisenie 1200 dpi, Skener: áno, Vstupná kapacita zásobníka: 2000 listov, Rýchlosť tlače: 46 listov/minúta, Zaruka: 5</t>
  </si>
  <si>
    <t>Kúpna zmluva č. OVO2-2019/000416-007</t>
  </si>
  <si>
    <t>https://crz.gov.sk/4108813</t>
  </si>
  <si>
    <t>https://www.crz.gov.sk/data/att/4108815_dokument1.pdf</t>
  </si>
  <si>
    <t>Typ: EVOLVEO Dion 2,Externá,Funkcia: Klonovanie SATA disku bez počítača, Klonovanie SATA disku bez počítača, Podpora Thundebolt 3,Presonová rýchlosť: 10Gb/s,Kompatibilita s operačnými systémami: MS Windows,Zaruka: neuvedené</t>
  </si>
  <si>
    <t>Typ: I-tec PCEGLAN,Porty: 1x 1000Mb/s port PCIE,Zaruka: neuvedené</t>
  </si>
  <si>
    <t>Typ: Intellinet 522328, Porty: 1x 1000Mb/s port PCI,Zaruka: neuvedené</t>
  </si>
  <si>
    <t>Typ: HP  X1000 - H2C21AA,Popis: drôtová, optická, USB konektor, 1000 DPI,Zaruka:neuvedené</t>
  </si>
  <si>
    <t>Typ: Genius KB-125,Popis: drôtová, konektor USB, obsahuje numerickú klávesnicu,Zaruka: neuvedené</t>
  </si>
  <si>
    <t>Typ: Rikomagic I8 Wireless W,Popis: bezdrôtová, touchpad,Zaruka: neuvedené</t>
  </si>
  <si>
    <t>Typ: HP  Business Slim Smartcard Keyboard SK - Z9H48AA,Popis: drôtová, USB, numerická klávesnica, čítačka smart kariet,Zaruka: neuvedené</t>
  </si>
  <si>
    <t>Typ: RAPOO 8200M,Popis: bezdrôtové, citlivosť myši 1000 DPI, numerická klávesnica,Zaruka: neuvedené</t>
  </si>
  <si>
    <t>Typ: Patriot PSD44G240041,Typ: DDR4 4GB Frekv. 2400MHz,Zaruka: neuvedené</t>
  </si>
  <si>
    <t>Typ: Maxtor STSHX-M201TCBM,Vyhot.: externý, USB 3.0, kapacita 2TB rýchlosť 5400 rpm,Zaruka: neuvedené</t>
  </si>
  <si>
    <t>Typ: WD WDBVBZ0120JCH-EESN,Vyhot.: externý, kapacita 2x 6TB, rýchlosť otáčok 5400 rpm,Zaruka: neuvedené</t>
  </si>
  <si>
    <t>Typ: WD WDBVBZ0080JCH-EESN,Vyhot.: externý, kapacita 2x4 TB, rýchlosť otáčok 5400 rpm,Zaruka: neuvedené</t>
  </si>
  <si>
    <t>Typ: WD WDBYFT0040BBK-WESN,Vyhot.: externý, USB 3.0, kapacita 4 TB, rýchlosť 5400 rpm,Zaruka: neuvedené</t>
  </si>
  <si>
    <t>Typ: WD WDBBGB0100HBK-EESN, Vyhot.: externý, USB 3.0, kapacita 10 TB, rýchlosť 5400 rpm,Zaruka: neuvedené</t>
  </si>
  <si>
    <t>Typ: IBM 43X0802,Vyhot.: interný, 300GB 15K 3.5 SAS, 10K pre server IBM x3500, Machine type: 7977, Model: 12Y,Zaruka: neuvedené</t>
  </si>
  <si>
    <t>Typ: IBM 43X0802,Vyhot.: interný,300GB 15K 3.5 SAS, pre server IBM x3400, Machine type: 7976, Model: 6AG,Zaruka: neuvedené</t>
  </si>
  <si>
    <t>Typ: HP 454274-001,Vyhot.: interný, 450GB 15K 3.5 SAS pre server HP ProLiant ML150, G5,Zaruka: neuvedené</t>
  </si>
  <si>
    <t>Typ: HP 432320-001,Vyhot.: interný pre server HP ProLiant rady 380, 146-GB 6G 10K 2.5 DP SAS HDD,G5,Zaruka: neuvedené</t>
  </si>
  <si>
    <t>Typ: HP AW555A,Vyhot.:  interný 3,5“; 2TB; SAS MDL, pre HP STORAGE Works MSA2000, G2,Zaruka: neuvedené</t>
  </si>
  <si>
    <t>Typ: HP AW556A,Vyhot.: interný 3,5“; 2TB; SATA MDL, pre HP STORAGE Works MSA2000, G2,Zaruka: neuvedené</t>
  </si>
  <si>
    <t>Typ: Seagate ST1000LM048,Vyhot.: interný 2,5“, s rozhraním SATAIII, kapacitou 1 TB, s rýchlosťou 5400ot/min, s vyrovnávacou pamäťou 128MB,Zaruka: neuvedené</t>
  </si>
  <si>
    <t>Typ: Seagate ST2000LM015,Vyhot.:  interný 2,5“ s rozhraním SATAIII, kapacitou 2 TB, s rýchlosťou 5400ot/min, s vyrovnávacou pamäťou 128MB,Zaruka: neuvedené</t>
  </si>
  <si>
    <t>Typ: Seagate ST1000DM010,Vyhot.:  interný 3,5“ s rozhraním SATAIII, kapacitou 1 TB, s rýchlosťou 7200ot/min, s vyrovnávacou pamäťou min. 64MB,Zaruka: neuvedené</t>
  </si>
  <si>
    <t>Typ: Seagate ST2000DM008, Vyhot.:  interný 3,5“ s rozhraním SATAIII, kapacitou 2 TB, s rýchlosťou 7200ot/min, s vyrovnávacou pamäťou 256MB,Zaruka: neuvedené</t>
  </si>
  <si>
    <t>Typ: Toshiba, HDWD130UZSVA,Vyhot.: interný 3,5“ s rozhraním SATAIII, kapacitou 3 TB, s rýchlosťou 7200ot/min, s vyrovnávacou pamäťou 64MB,Zaruka: neuvedené</t>
  </si>
  <si>
    <t>Typ: Seagate ST4000VX007,Vyhot.:  interný 3,5“ s rozhraním SATAIII, kapacitou 4 TB, s rýchlosťou 5900ot/min, s vyrovnávacou pamäťou 64MB,Zaruka: neuvedené</t>
  </si>
  <si>
    <t>Typ: Seagate ST4000NE0025,Vyhot.: interný 3,5“ s rozhraním SATAIII, kapacitou 4 TB, s rýchlosťou 7200ot/min, s vyrovnávacou pamäťou 128MB,Zaruka: neuvedené</t>
  </si>
  <si>
    <t>Typ: WD WD40PURZ,Vyhot.: interný 3,5“ s rozhraním SATAIII, kapacitou 4TB, s rýchlosťou 5400ot/min, s vyrovnávacou pamäťou 64MB,Zaruka: neuvedené</t>
  </si>
  <si>
    <t>Typ: Seagate ST4000NM0035,Vyhot.: interný 3,5“ s rozhraním SATAIII, kapacitou 4 TB, s rýchlosťou 7200ot/min, s vyrovnávacou pamäťou 128MB,Zaruka: neuvedené</t>
  </si>
  <si>
    <t>Typ: Toshiba DT01ACA050,Vyhot.: interný 3,5“ s rozhraním SATAIII, kapacitou 500 GB, s rýchlosťou 7200ot/min, s vyrovnávacou pamäťou 32MB,zaruka: neuvedené</t>
  </si>
  <si>
    <t>Typ: HP WD10JUCT, Vyhot.: k interný 2,5“ s rozhraním SATAII, kapacitou 1TB,s rýchlosťou 5400ot/min, s vyrovnávacou pamäťou 16MB,Zaruka: neuvedené</t>
  </si>
  <si>
    <t>Typ: A-DATA  ASU800SS-256GT-C,Vyhot.: k interný 2,5“ s rozhraním SATAIII, kapacitou 256 GB, Technologia disku SSD,Zaruka: neuvedené</t>
  </si>
  <si>
    <t>Typ: WD WDS250G2B0A,Vyhot.:  interný 2,5“ s rozhraním SATAIII, kapacitou 250 GB, Technologia disku SSD,Zaruka: neuvedené</t>
  </si>
  <si>
    <t>Typ: WD WDS500G2B0A,Vyhot.: interný 2,5“ s rozhraním SATAIII, kapacitou 500 GB, Technologia disku SSD,Zaruka: neuvedené</t>
  </si>
  <si>
    <t>Typ: Patriot PSD22G8002S,Vyhot.: DDR2 kapacita 2GB Frekv. 800Mhz,Zaruka: neuvedené</t>
  </si>
  <si>
    <t>Typ: Kingston KVR13N9S8/4,Vyhot.: DDR3 kapacita 4GB Frekv. 1333MHz,Zaruka: neuvedené</t>
  </si>
  <si>
    <t>Typ: Kingston KVR16LN11/4,Vyhot.: DDR3 kapacita 4GB Frekv. 1600MHz,Zaruka: neuvedené</t>
  </si>
  <si>
    <t>Typ: Kingston KVR13S9S8/4,Vyhot.: DDR3 kapacita 4GB Frekv. 1333MHz,Zaruka: neuvedené</t>
  </si>
  <si>
    <t>Typ: Kingston DT100G3/16GB,Vyhot.: kapacita 16GB, USB 3.0,Zaruka: neuvedené</t>
  </si>
  <si>
    <t>Typ: Kingston  DT100G3/32GB,Vyhot.: kapacita 32GB, USB 3.0,Zaruka: neuvedené</t>
  </si>
  <si>
    <t>Typ: GOODDRIVE UTS3-0640K0R11,Vyhot.: kapacita 64GB, USB 3.0,Zaruka: neuvedené</t>
  </si>
  <si>
    <t xml:space="preserve">Typ: Kingston DT100G3/128GB,Vyhot.: kapacita 128GB, USB 3.0,Zaruka: neuvedené </t>
  </si>
  <si>
    <t xml:space="preserve">Typ: Samsung LS24F350FHUXEN,Velkost: 24",Rozlisenie: 1920x1080,Velkost: LCD PLS LED,Jas: 250cd/m2,Odozva: 4ms,Zaruka: neuvedené </t>
  </si>
  <si>
    <t>Kúpna zmluva č. OVO2-2018/000019-029</t>
  </si>
  <si>
    <t>https://crz.gov.sk/3851007</t>
  </si>
  <si>
    <t>https://www.crz.gov.sk/data/att/3851010_dokument1.pdf</t>
  </si>
  <si>
    <t xml:space="preserve">Typ: HP EliteDesk 800 G4 Tower,Proc: passmark 11937,RAM: 16GB,Disk: SSD 256GB + HDD 1TB 7200rpm,VGA: nezdiel AMD Radeon RX850 4GB RAM passmark 4500,Zdroj: 400W,Zaruka: neuvedené </t>
  </si>
  <si>
    <t xml:space="preserve">Typ: HP EliteDesk 800 G4 Tower,Proc: passmark 11937,RAM: 32GB,Disk: SSD 256GB + HDD 1TB 7200rpm,VGA: nezdiel,Zdroj: 450W,Zaruka: neuvedené </t>
  </si>
  <si>
    <t>Kúpna zmluva č. OVO2-2018/000019-031</t>
  </si>
  <si>
    <t xml:space="preserve">Typ: HP EliteDesk 800 G4 SFF,Proc: passmark 11937,RAM: 16GB DDR4 2400MHz rozšíriteľné na 64GB,Disk: SSD 256GB + HDD 1TBc7200rpm,VGA: nezdiel AMD Radeon RX850 4GB RAM passmark 4500,Zdroj: 450W,Zaruka: neuvedené </t>
  </si>
  <si>
    <t>Kúpna zmluva č. OVO2-2018/000019-032</t>
  </si>
  <si>
    <t xml:space="preserve">Typ: HP EliteOne 800 G4 All-in-One,RAM: 8GB DDR4 2400MHz rozšíriteľné na 32GB,Disk: SSD 512GB,VGA: Zdiel,Zdroj: 150W,Zaruka: neuvedené </t>
  </si>
  <si>
    <t>Kúpna zmluva č. OVO2-2018/000019-033</t>
  </si>
  <si>
    <t xml:space="preserve">Typ: HP EliteDesk 800 G4 WKS Tower,RAM: 8GB DDR4 2400MHz rozšíriteľné na 64GB,Disk: SSD 256GB + HDD 1TB 7200rpm,VGA: Zdiel,Zdroj: 450W,Zaruka: neuvedené </t>
  </si>
  <si>
    <t>Kúpna zmluva č. OVO2-2018/000019-034</t>
  </si>
  <si>
    <t xml:space="preserve">Typ: HP ProDesk 400 G4 Mini,Proc.:Intel Core™ i3-7100T 3,1 GHz,Disk: bez,RAM:  4GB,VGA: zdiel,Zaruka: neuvedené </t>
  </si>
  <si>
    <t>Kúpna zmluva č. OVO2-2018/000019-035</t>
  </si>
  <si>
    <t>Typ:HP P/N: 3TK83AA,Vyhot.:16GB DDR4 2400MHz,Zaruka:Neuvedené</t>
  </si>
  <si>
    <t>Kúpna zmluva č. OVO2-2018/000019-036</t>
  </si>
  <si>
    <t xml:space="preserve">Typ: HP EliteDisplay E243i,Velkost: 24",Rozlisenie: 1920x1080,Velkost:LED,Jas: 300cm/m2,Odozva: 5ms,Zaruka: neuvedené </t>
  </si>
  <si>
    <t>Kúpna zmluva č. OVO2-2018/000019-037</t>
  </si>
  <si>
    <t xml:space="preserve">Typ: HP EliteDisplay E273q,Velkost: 27",Rozlisenie: 2560x1440,Velkost:LED,Jas: 350cm/m2,Odozva: 5ms,Zaruka: neuvedené </t>
  </si>
  <si>
    <t>Kúpna zmluva č. 72/OI/2020</t>
  </si>
  <si>
    <t>https://crz.gov.sk/zmluva/5095443</t>
  </si>
  <si>
    <t>https://www.crz.gov.sk/data/att/2499690.pdf</t>
  </si>
  <si>
    <t>Typ: OKI MC873dnv,Technologia: laser, Farba: ano, Fromát tlače: A3, Rozlisenie 600 dpi, Vstupná kapacita zásobníka: 2005 listov, Rýchlosť tlače: 35 listov/minúta, Zaruka: 3</t>
  </si>
  <si>
    <t>Kúpna zmluva</t>
  </si>
  <si>
    <t>https://crz.gov.sk/4241268</t>
  </si>
  <si>
    <t>https://www.crz.gov.sk/data/att/4241275_dokument1.pdf, https://www.crz.gov.sk/data/att/4241279_dokument1.pdf</t>
  </si>
  <si>
    <t>Typ: HP Probook 440 G6, Proc.: 4-jadro Intel i5-8265U, 6mb cache,RAM: 8GB DDR4 2400 rozšíriteľná na 16GB,Disk: SSD 512GB,VGA: Zdiel,Disp: FHD, Zaruka: 3</t>
  </si>
  <si>
    <t xml:space="preserve">Typ: HP EliteDisplay E243d,Velkost: 23,8",Rozlisenie: 1920x1080,Jas: 250cd/m2,Odozva: 5ms,Zaruka: neuvedené </t>
  </si>
  <si>
    <t>Typ: iPad Pro Wi-Fi + Cellular,Proc.:M12,RAM:4GB,Kapacita:512GB,Velkost:11", Rozlisenie 2388x1668,Batéria:7800mAh,Zaruka:2</t>
  </si>
  <si>
    <t>Typ: HP EliteOne 800 G5, Proc.: Intel i5 9500, 6 jadier 9mb cache Frekv. 3.0GHz, RAM: 8GB, Disk: SSD 512GB,VGA: Zdiel,Disp.: 23.8" FHD, Zaruka: 3</t>
  </si>
  <si>
    <t>Typ: HP LaserJet Pro M203dn,Formát:A4 A5 A6,Rýchlosť tlače: 28 listov/minúta,Rozlisenie 1200 dpi,Zaruka:2</t>
  </si>
  <si>
    <t>Typ:HP LaserJet Enterprise MFP M775dn,Technologia: laser, Farba: ano, Fromát tlače: A3, Rozlisenie 600 dpi, Vstupná kapacita zásobníka: 250 listov, Rýchlosť tlače: 30 listov/minúta, Zaruka: neuvedené</t>
  </si>
  <si>
    <t>KÚPNA  ZMLUVA č. 149/OI/2020</t>
  </si>
  <si>
    <t>https://crz.gov.sk/zmluva/5254584</t>
  </si>
  <si>
    <t>https://www.crz.gov.sk/data/att/2589256.pdf, https://www.crz.gov.sk/data/att/2589296.pdf</t>
  </si>
  <si>
    <t>Typ: neuvedené,Rozhranie: USB,Rychlost: 1Gbps,Zaruka: neuvedené</t>
  </si>
  <si>
    <t>Typ: neuvedené,Vyhot,: bal. 305m,Spec.: CAT5e FTP,Zaruka: neuvedené</t>
  </si>
  <si>
    <t>Typ: neuvedené,Vyhot,: bal. 305m,Spec.: CAT5e UTP,Zaruka: neuvedené</t>
  </si>
  <si>
    <t>Typ: neuvedené,Spec.: neuvedené,Rozmer: 1U,PocetZasuviek: 24,Zaruka: neuvedené</t>
  </si>
  <si>
    <t>Typ: 650VA,Spinanie: line-interactive,Vykon: 360W,Vyhot.: na stôl,USB,Zaruka: neuvedené</t>
  </si>
  <si>
    <t>Typ: 1000VA,Spinanie: line-interactive,Vykon: 600W,Vyhot.: na stôl,USB,Zaruka: neuvedené</t>
  </si>
  <si>
    <t>Typ: neuvedené,Technol.: optická drôtová,Rozlisenie: 1000dpi,Rozhranie: USB,Zaruka: neuvedené</t>
  </si>
  <si>
    <t>Typ: neuvedené,Technol.: optická bezdrôtová,Rozlisenie: 1200dpi,Rozhranie: USB,Zaruka: neuvedené</t>
  </si>
  <si>
    <t>Typ: neuvedené,Technol.: optická drôtová,Rozlisenie: 1200dpi,Rozhranie: USB,Zaruka: neuvedené</t>
  </si>
  <si>
    <t>Typ: neuvedené,Porty: 4x USB 3.2,Napajanie:cez USB,Vypinanie: spolu s PC,Zaruka: neuvedené</t>
  </si>
  <si>
    <t>Typ: neuvedené,Vyhot.: externý,Kapacita: 2TB,Rozmer: 2.5",Druh: HDD5400,Rozhranie: USB 3.0,Cache: neuvedené,Zaruka: neuvedené</t>
  </si>
  <si>
    <t>Typ: neuvedené,Vyhot.: interný,Kapacita: 1TB,Rozmer: 2.5",Druh: SSD,Rozhranie: SATA 6Gb/s,Cache: neuvedené,Zaruka: neuvedené</t>
  </si>
  <si>
    <t>Typ: WD Blue Mobile,Vyhot.: interný,Kapacita: 2TB,Rozmer: 2.5",Druh: HDD5400,Rozhranie: SATA 6Gb/s,Cache: neuvedené,Zaruka: neuvedené</t>
  </si>
  <si>
    <t>Typ: neuvedené,Vyhot.: interný,Kapacita: 500GB,Rozmer: 2.5",Druh: SSD,Rozhranie: NVMe,Cache: neuvedené,Zaruka: neuvedené</t>
  </si>
  <si>
    <t>Typ: SanDisk Extreme Portable,Vyhot.: externý,Kapacita: 2TB,Rozmer: 2.5",Druh: SSD,Rozhranie: USB 3.1-C,Cache: neuvedené,Zaruka: neuvedené</t>
  </si>
  <si>
    <t>Typ: neuvedené,Druh: DIMM,Kapacita: 4GB,Generacia: DDR4,Frekv.: 2400MHz,Zaruka: neuvedené</t>
  </si>
  <si>
    <t>Typ: neuvedené,Druh: DIMM,Kapacita: 8GB,Generacia: DDR4,Frekv.: 2400MHz,Zaruka: neuvedené</t>
  </si>
  <si>
    <t>Typ: neuvedené,Druh: SO-DIMM,Kapacita: 4GB,Generacia: DDR4,Frekv.: 2666MHz,Zaruka: neuvedené</t>
  </si>
  <si>
    <t>Typ: neuvedené,Druh: SO-DIMM,Kapacita: 8GB,Generacia: DDR4,Frekv.: 2666MHz,Zaruka: neuvedené</t>
  </si>
  <si>
    <t>Typ: WD Red,Vyhot.: interný,Kapacita: 4TB,Rozmer: 3.5",Druh: HDD7200,Rozhranie: SATA 6Gb/s,Cache: 128MB,Zaruka: neuvedené</t>
  </si>
  <si>
    <t>Typ: WD Blue,Vyhot.: interný,Kapacita: 1TB,Rozmer: 3.5",Druh: HDD5900,Rozhranie: SATA 6Gb/s,Cache: 64MB,Zaruka: neuvedené</t>
  </si>
  <si>
    <t>Typ: Seagate Constellation,Vyhot.: interný,Kapacita: 1TB,Rozmer: 3.5",Druh: HDD7200,Rozhranie: SATA 6Gb/s,Cache: 64MB,Zaruka: neuvedené</t>
  </si>
  <si>
    <t>Typ: Synology DiskStation RS819,Technol.: SATA 6Gb/s,Radic: RAID0/1/5/6/10/JBOD,Cache: 2GB RAM,Disky: bez,Porty: 4 SATA,Vyhotovenie: rackmount,2x1Gb LAN,vzdialený prístup,Zaruka: neuvedené</t>
  </si>
  <si>
    <t>Typ: neuvedené,Technol.: optická drôtová vertikálna,Rozlisenie: 1600dpi,Rozhranie: USB,Zaruka: neuvedené</t>
  </si>
  <si>
    <t>Typ: neuvedené,Technol.: optická bezdrôtová vertikálna,Rozlisenie: 1600dpi,Rozhranie: USB+WiFi,Zaruka: neuvedené</t>
  </si>
  <si>
    <t>Typ: neuvedené,Pripoj.: drôtová,Rozlozenie: CZ+SK,Rozhranie: USB,Zaruka: neuvedené</t>
  </si>
  <si>
    <t>KÚPNA ZMLUVA O DODÁVKE CENTRÁLNYCH ZARIADENÍ A LICENCIÍ</t>
  </si>
  <si>
    <t>https://crz.gov.sk/zmluva/5608437</t>
  </si>
  <si>
    <t>https://www.crz.gov.sk/data/att/2796865.pdf</t>
  </si>
  <si>
    <t>Typ: HPE StoreOnce 5200,Technol.: virtuálna pásková knižnica (HDD emulated Tape Library),Radic: RAID1-10,Cache: 8GB RAM,Disky: 36x 4TB SATA 7200,Porty: 5 SATA,Vyhotovenie: na stôl,4x1Gb LAN+2x16Gb FC+1x 1Gb LAN iLO management,vzdialený prístup, Zaruka: 2+NBD</t>
  </si>
  <si>
    <t>Typ: HPE MSL6480 0-drive Tape Library,Technol.: pásková knižnica,Vyhotovenie: rackmount,Medium: pásky &gt;=2.5TB LTO-6 RW WORM,Pocet_mech.: 4,Pocet_kap_media: 300x 2.5TB + 10x cistiace,Komp_rozhrania: 8Gb FC,Zaruka: 2+NBD</t>
  </si>
  <si>
    <t>https://crz.gov.sk/zmluva/5694910</t>
  </si>
  <si>
    <t>https://www.crz.gov.sk/data/att/2849436.pdf</t>
  </si>
  <si>
    <t>Typ: Dell P2219H,Rozlisenie: 1920x1080,Frekv: 60 Hz,Velkost: 21.5",Kontrast: 1000:1,Vstupy: DP, HDMI, VGA, USB, matný,nastaviteľný,Zaruka: 3+NBD</t>
  </si>
  <si>
    <t>Typ: Dell UltraSharp U2419H,Rozlisenie: 1920x1080,Frekv: 60 Hz,Velkost: 24",Kontrast: 1000:1,Vstupy: DP, HDMI, miniDP, USB, matný,nastaviteľný,Zaruka: neuvedené</t>
  </si>
  <si>
    <t>Typ: Dell U2719D,Rozlisenie: 2560x1440,Frekv: 60 Hz,Velkost: 27",Kontrast: 1000:1,Vstupy: DP, HDMI, matný,nastaviteľný,Zaruka: neuvedené</t>
  </si>
  <si>
    <t>Typ: AOC MT MVA LCD 22E1Q,Rozlisenie: 1920x1080,Frekv: 60 Hz,Velkost: 21.5",Kontrast: 1000:1,Vstupy: VGA, DP, HDMI, matný,Zaruka: neuvedené</t>
  </si>
  <si>
    <t>Typ: AOC MT IPS LCD,Rozlisenie: 1920x1080,Frekv: 60 Hz,Velkost: 23.8",Kontrast: 1000:1,Vstupy: VGA, DP, HDMI, matný,nastaviteľný,Zaruka: neuvedené</t>
  </si>
  <si>
    <t>Typ: Samsung C27F396,Rozlisenie: 1920x1080,Frekv: 60 Hz,Velkost: 27" prehnutý 1800R,Kontrast: 3000:1,Vstupy: VGA, HDMI, matný,Zaruka: neuvedené</t>
  </si>
  <si>
    <t>Typ: Intel NUC Kit 7i5DNKE,Proc: passmark 5190,RAM: 8GB,Disk: SSD NVMe 240GB,VGA: zdiel.,OS: Win10,Zaruka: neuvedené</t>
  </si>
  <si>
    <t>Typ: HP Pavilion 24 AiO k0001nc,Proc: 6-jadro passmark 10000,RAM: 8GB,Disk: SSD SATA 512GB,VGA: zdiel,OS: Win10,klávesnica,myš,Monitor: FHD 23.8" WLED dotyk,Zaruka: neuvedené</t>
  </si>
  <si>
    <t>Typ: HP Pavilion 27 AiO d0000nc,Proc: 6-jadro passmark 10000,RAM: 16GB,Disk: SSD SATA 512GB,VGA: zdiel,OS: Win10,klávesnica,myš,Monitor: FHD 27" WLED dotyk,Zaruka: neuvedené</t>
  </si>
  <si>
    <t>Typ: Lenovo M720t,Proc: 6-jadro passmark 9592,RAM: 16GB,Disk: SSD NVMe 512GB,VGA: zdiel.,OS: Win10,klávesnica,myš,DVD,Zaruka: neuvedené</t>
  </si>
  <si>
    <t>Typ: neuvedené,Proc: 4-jadro passmark 8896,RAM: 8GB,Disk: SSD SATA 240GB,VGA: zdiel.,OS: Win10,klávesnica,myš,DVD,Zaruka: neuvedené</t>
  </si>
  <si>
    <t>Typ: neuvedené,Proc: 4-jadro passmark 8808,RAM: 8GB,Disk: SSD SATA 256GB,VGA: zdiel.,OS: Win10,klávesnica,myš,DVD,Zaruka: neuvedené</t>
  </si>
  <si>
    <t>Typ: neuvedené,Proc: 4-jadro passmark 10247,RAM: 16GB,Disk: SSD SATA 512GB,VGA: zdiel.,OS: Win10,klávesnica,myš,Zaruka: neuvedené</t>
  </si>
  <si>
    <t>Typ: HP Pavilion Gam TG01-0105nc,Proc: 8-jadro passmark 22716,RAM: 16GB,Disk: SSD SATA 1TB,VGA: nVidia RTX2060 6GB RAM passmark 13952,OS: Win10,klávesnica,myš,Zaruka: neuvedené</t>
  </si>
  <si>
    <t>Typ: HP Slim S01-pD0014nc,Proc: 6-jadro passmark 9224,RAM: 8GB,Disk: SSD NVMe 512GB,VGA: zdiel.,OS: Win10,klávesnica,myš,DVD,Zaruka: neuvedené</t>
  </si>
  <si>
    <t>Typ: Dell Inspiron 3793,Proc.: 4-jadro passmark 8655,RAM: 8GB,Disk: SSD NVMe 512GB,VGA: zdiel.,Disp: FHD,OS: Win10,klávesnica,myš,taška,TPM,Zaruka: neuvedené</t>
  </si>
  <si>
    <t>Typ: Dell Inspiron 3593,Proc.: 4-jadro passmark 7729,RAM: 8GB,Disk: SSD NVMe 512GB,VGA: zdiel.,Disp: FHD,OS: Win10,klávesnica,myš,taška,TPM,Zaruka: neuvedené</t>
  </si>
  <si>
    <t>Typ: Dell Latitude 5410,Proc.: 4-jadro passmark 6400,RAM: 8GB,Disk: SSD NVMe 256GB,VGA: zdiel.,Disp: FHD,OS: Win10,klávesnica,myš,taška,TPM,Zaruka: neuvedené</t>
  </si>
  <si>
    <t>Typ: Dell Inspiron 7391,Proc.: 4-jadro passmark 6828,RAM: 16GB,Disk: SSD NVMe 512GB,VGA: zdiel.,Disp: FHD,OS: Win10,klávesnica,myš,taška,TPM,Zaruka: neuvedené</t>
  </si>
  <si>
    <t>Typ: Apple MacBook Air,Proc.: 8-jadro passmark 8000,RAM: 8GB,Disk: SSD SATA 512GB,VGA: zdiel.,Disp: 2560x1600,OS: macOS Mojave,Zaruka: neuvedené</t>
  </si>
  <si>
    <t>Typ: Apple MacBook Air,Proc.: 8-jadro passmark 8000,RAM: 8GB,Disk: SSD SATA 256GB,VGA: zdiel.,Disp: 2560x1600,OS: macOS Mojave,Zaruka: neuvedené</t>
  </si>
  <si>
    <t>Typ: Lenovo IP Yoga Touch 400N,Proc.: 4-jadro passmark 6828,RAM: 16GB,Disk: SSD NVMe 512GB,VGA: zdiel.,Disp: FHD,OS: Win10,TPM,Zaruka: neuvedené</t>
  </si>
  <si>
    <t>Typ: Lenovo ThinkPad E14 Gen2,Proc.: 8-jadro passmark 13646,RAM: 16GB,Disk: SSD NVMe 512GB,VGA: zdiel.,Disp: FHD,OS: Win10Pro,TPM,Zaruka: neuvedené</t>
  </si>
  <si>
    <t>Typ: HP ProBook x360 435 G7,Proc.: 8-jadro passmark 13646,RAM: 16GB,Disk: SSD NVMe 512GB,VGA: zdiel.,Disp: FHD,OS: Win10Pro,TPM,Zaruka: neuvedené</t>
  </si>
  <si>
    <t>Typ: Lenovo IdeaPad 15ARE05,Proc.: 6-jadro passmark 11098,RAM: 8GB,Disk: SSD NVMe 512GB,VGA: zdiel.,Disp: FHD,OS: Win10,TPM,Zaruka: neuvedené</t>
  </si>
  <si>
    <t>Typ: Samsung Galaxy Tab A,Proc.: 8-jadro passmark 1948,RAM: 2GB,Disk: CF 32GB,Disp.: 1920x1200,OS: Android 9,Fotoaparat 2x,bluetooth,wifi,gps,Zaruka: neuvedené</t>
  </si>
  <si>
    <t>Typ: Samsung Galaxy Tab S7 11,Proc.: 4-jadro passmark 5387,RAM: 6GB,Disk: CF 128GB,Disp.: 2560x1600,OS: Android 10,Fotoaparat 2x,bluetooth,wifi,gps,Zaruka: neuvedené</t>
  </si>
  <si>
    <t>Typ: Apple iPad,Proc.: 6-jadro passmark 4705,RAM: 3GB,Disk: CF 32GB,Disp.: 2160x1620,OS: iPad OS14,Fotoaparat 2x,bluetooth,wifi,gps,Zaruka: neuvedené</t>
  </si>
  <si>
    <t>Typ: Konica Bizhub 4050i,Technologia: laser,Farba: nie,Formaty: A4,Rozhrania: USB, ethernet, wifi,RAM: 5GB,Pam. karta: SSD 256GB,Zasobnik: 500,R. tlace: 1200dpi,R. kopirky: 600dpi,R. skenera: 600dpi,Duplex: áno,Zaruka: neuvedené</t>
  </si>
  <si>
    <t>Typ: Konica Bizhub 227,Technologia: laser,Farba: nie,Formaty: A3,Rozhrania: USB, ethernet, wifi,RAM: 2GB,Pam. karta: HDD 250GB,Zasobnik: 1000,R. tlace: 1200dpi,R. kopirky: 600dpi,R. skenera: 600dpi,Duplex: áno,zošívačka,Zaruka: neuvedené</t>
  </si>
  <si>
    <t>Typ: Konica Bizhub C250i,Technologia: laser,Farba: áno,Formaty: A3,Rozhrania: USB, ethernet, wifi,RAM: 8GB,Pam. karta: SSD 256GB,Zasobnik: 1000,R. tlace: 1200dpi,R. kopirky: 600dpi,R. skenera: 600dpi,Duplex: áno,zošívačka,Zaruka: neuvedené</t>
  </si>
  <si>
    <t>Typ: Kyocera Ecosys M2040DN,Technologia: laser,Farba: nie,Formaty: A4,Rozhrania: USB, ethernet, wifi,RAM: 512MB,Pam. karta: bez,Zasobnik: 250,R. tlace: 1200dpi,R. kopirky: 600dpi,R. skenera: 600dpi,Duplex: áno,Zaruka: neuvedené</t>
  </si>
  <si>
    <t>Typ: Canon i-SENSYS MF443dw,Technologia: laser,Farba: nie,Formaty: A4,Rozhrania: USB, ethernet, wifi,RAM: 1GB,Pam. karta: bez,Zasobnik: 250,R. tlace: 1200dpi,R. kopirky: 600dpi,R. skenera: 600dpi,Duplex: áno,Zaruka: neuvedené</t>
  </si>
  <si>
    <t>Typ: Brother MFC-L2762DW,Technologia: laser,Farba: nie,Formaty: A4,Rozhrania: USB, ethernet, wifi,RAM: 128MB,Pam. karta: bez,Zasobnik: 250,R. tlace: 1200dpi,R. kopirky: 600dpi,R. skenera: 600dpi,Duplex: áno,Zaruka: neuvedené</t>
  </si>
  <si>
    <t>Typ: EPSON EB-U42,Technol.: 3LCD,Svetlost: 3600lm,Zdroj svetla: žiarovka 10000h,Rozlisenie: 1920x1200,Kontrast: 15000:1,Rozhrania: Miracast, CINCH, MHL, Kompozit, USB, HDMI, VGA, WIFI,Zaruka: neuvedené</t>
  </si>
  <si>
    <t>Typ: BENQ DLP Projector MH733,Technol.: 3LCD,Svetlost: 4000lm,Zdroj svetla: žiarovka 15000h,Rozlisenie: 1920x1080,Kontrast: 16000:1,Rozhrania: RS-232, USB, HDMI, VGA,Zaruka: neuvedené</t>
  </si>
  <si>
    <t>Typ: Optoma X400,Technol.: DLP full 3D,Svetlost: 4000lm,Zdroj svetla: žiarovka s neuvedenou dobou životnosti,Rozlisenie: 1920x1080,Kontrast: 22000:1,Rozhrania: VGA, HDMI,Zaruka: neuvedené</t>
  </si>
  <si>
    <t>Typ: Optoma EH334,Technol.: DLP full 3D,Svetlost: 3600lm,Zdroj svetla: žiarovka s neuvedenou dobou životnosti,Rozlisenie: 1920x1080,Kontrast: 20000:1,Rozhrania: VGA, HDMI,Zaruka: neuvedené</t>
  </si>
  <si>
    <t>Typ: Cisco SG335-10P,Porty/rychl.: 10x1Gbps,Uroven: neuvedené,Vyhot.: 1U,VLAN: 4096,Zaruka: neuvedené</t>
  </si>
  <si>
    <t>Typ: Cisco Catalyst 2960-X PoE,Porty/rychl.: 48x1Gbps PoE,Uroven: neuvedené,Vyhot.: 1U,VLAN: 1023,Zaruka: neuvedené</t>
  </si>
  <si>
    <t>Typ: Cisco SG300-52P,Porty/rychl.: 48x1Gbps + 2xSFP + 2xLAN/SFP,Uroven: neuvedené,Vyhot.: 1U,VLAN: 4096,Zaruka: neuvedené</t>
  </si>
  <si>
    <t>Typ: Cisco Catalyst 2960-X,Porty/rychl.: 48x1Gbps + 4xopt. Uplink 1GE,Uroven: neuvedené,Vyhot.: 1U,VLAN: 1023,Zaruka: neuvedené</t>
  </si>
  <si>
    <t>Typ: Cisco Catalyst 2960-X PoE,Porty/rychl.: 48x1Gbps PoE + 4xopt. Uplink 1GE,Uroven: neuvedené,Vyhot.: 1U,VLAN: 1023,Zaruka: neuvedené</t>
  </si>
  <si>
    <t>Typ: Cisco Catalyst 2960-X,Porty/rychl.: 48x1Gbps + 2xopt. Uplink 10GE,Uroven: neuvedené,Vyhot.: 1U,VLAN: 1023,Zaruka: neuvedené</t>
  </si>
  <si>
    <t>Typ: Cisco Catalyst 2960-X,Porty/rychl.: 48x1Gbps + 2x 10Gbps SFP,Uroven: neuvedené,Vyhot.: 1U,VLAN: 1023,Zaruka: neuvedené</t>
  </si>
  <si>
    <t>Typ: Ubiquiti UAP nanoHD Compact UniFi Wave 2 AC,Porty:1x1Gbit LAN+PoE+manažment,VPN: neuvedené,VLAN: neuvedené,PocetSSID: neuvedené,Normy: IEEE 802.11 a/b/g/n/an/ac-Wave2,MIMO: bližšie neurčené,Pasma: 2.4+5GHz,Roaming: neuvedené,Podpora: neuvedené,Zaruka: 2</t>
  </si>
  <si>
    <t>Typ: Ubiquiti UniFi AP AC In Wall,Porty:5x1Gbit LAN+manažment,VPN: neuvedené,VLAN: neuvedené,PocetSSID: neuvedené,Normy: IEEE 802.11 a/b/g/n/r/k/v/ac/ac-wave2,MIMO: 4x4,Pasma: 2.4+5GHz,Roaming: neuvedené,Podpora: neuvedené,Zaruka: neuvedené</t>
  </si>
  <si>
    <t>Typ: Ubiquiti UniFi UAP AC HD,Porty:2x1Gbit LAN+manažment,VPN: neuvedené,VLAN: neuvedené,PocetSSID: 4 na vysielač,Normy: IEEE 802.11 a/b/g/n//ac/ac-wave2,MIMO: 4x4,Pasma: 2.4+5GHz,Roaming: neuvedené,Podpora: neuvedené,Zaruka: neuvedené</t>
  </si>
  <si>
    <t>https://crz.gov.sk/4365968</t>
  </si>
  <si>
    <t>https://www.crz.gov.sk/data/att/4365974_dokument1.pdf</t>
  </si>
  <si>
    <t>Typ: IBM pSeries s922, Proc: 2x 8-jadro Power9 3.4 MHz,RAM: 512GB,Disk: 4x HDD 300GB 15k RPM SAS SFF, Radic: neuvedené, Ethernet: 2x 16Gbps FC + 4x 10Gbps, GPU: Zdiel., Vyhotovenie: rackmount, OS nezávislý systém manažment, Zaruka: 3</t>
  </si>
  <si>
    <t>Typ: HPE ProLiant DL360 G10, Proc: 2x Intel Xeon-Gold 6134 8-jadro 3.2GHz,RAM: 64GB,Disk: 2x HDD 300GB 10k RPM SAS SFF, Radic: HPE Smart Array P408i-a SR Gen10 12G SAS Modular Controller, Ethernet: 4x 16Gbps FC + 8x 10Gbps, GPU: Zdiel., Vyhotovenie: rackmount, OS nezávislý systém manažment, Zaruka: 3</t>
  </si>
  <si>
    <t>Typ: HPE ProLiant DL380 G10, Proc: 2x Intel Xeon-Gold 6154 18-jadro 3.0GHz,RAM: 128GB,Disk: 2x HDD 600GB 10k RPM SAS SFF, Radic: HPE Smart Array P408i-a SR Gen10 12G SAS Modular Controller, Ethernet: 2x 16Gbps FC + 4x 10Gbps, GPU: Zdiel., Vyhotovenie: rackmount, OS nezávislý systém manažment, Zaruka: 3</t>
  </si>
  <si>
    <t>Typ: HPE ProLiant DL380 G10, Proc: 2x Intel Xeon-Gold 6154 18-jadro 3.0GHz,RAM: 512GB,Disk: 2x SSD 800GB mixed use SAS SFF, Radic: HPE Smart Array P408i-a SR Gen10 12G SAS Modular Controller, Ethernet: 2x 16Gbps FC + 4x 10Gbps, GPU: Zdiel., Vyhotovenie: rackmount, OS nezávislý systém manažment, Zaruka: 3</t>
  </si>
  <si>
    <t>Typ: HPE ProLiant DL580 G10,Proc: 2x Intel Xeon-Gold 6154 18-jadro 3.0GHz,RAM: 1024GB,Disk: 2x SSD 800GB mixed use SAS SFF, Radic: HPE Smart Array P408i-a SR Gen10 12G SAS Modular Controller, Ethernet: 4x 16Gbps FC + 4x 10Gbps, GPU: Zdiel., Vyhotovenie: rackmount, OS nezávislý systém manažment, Zaruka: 3</t>
  </si>
  <si>
    <t>Typ: Blade chassis HPE C7000, Vyska: 10U, Siet: 20/40Gbit, 10Gbit SFP+ SR 8x, 16Gbit 24-port backbone, redundantné napájacie zdroje, redundantné ventiátory, KVM prepínač, Zaruka: 3</t>
  </si>
  <si>
    <t>Typ: Blade chassis HPE C7000, Vyska: 10U, Siet: 20/40Gbit, 10Gbit SFP+ SR 16x, 16Gbit 24-port backbone, redundantné napájacie zdroje, redundantné ventiátory, KVM prepínač, Zaruka: 3</t>
  </si>
  <si>
    <t>Typ: HPE ProLiant BL460c Gen10,Proc: 2x Intel Xeon-Gold 6134 8-jadro 3.3GHz,RAM: 64GB,Disk: 2x HDD 300GB SAS SFF, Radic: HPE Smart Array P204i-b SR Gen10 12G SAS Modular Controller, Ethernet: 2x 20Gbps + 1x 16Gbps FC host bus adapter, GPU: Zdiel., Vyhotovenie: rackmount, OS nezávislý systém manažment, Zaruka: 3</t>
  </si>
  <si>
    <t>Typ: HPE ProLiant BL460c Gen10,Proc: 2x Intel Xeon-Gold 6134 8-jadro 3.3GHz,RAM: 128GB,Disk: 2x HDD 300GB SAS SFF, Radic: HPE Smart Array P204i-b SR Gen10 12G SAS Modular Controller, Ethernet: 2x 20Gbps + 1x 16Gbps FC host bus adapter, GPU: Zdiel., Vyhotovenie: rackmount, OS nezávislý systém manažment, Zaruka: 3</t>
  </si>
  <si>
    <t>Typ: HPE ProLiant BL460c Gen10,Proc: 2x Intel Xeon-Gold 6140 8-jadro 2.3GHz,RAM: 128GB,Disk: 2x HDD 300GB SAS SFF, Radic: HPE Smart Array P204i-b SR Gen10 12G SAS Modular Controller, Ethernet: 2x 20Gbps + 1x 16Gbps FC host bus adapter, GPU: Zdiel., Vyhotovenie: rackmount, OS nezávislý systém manažment, Zaruka: 3</t>
  </si>
  <si>
    <t>Typ: HPE ProLiant BL460c Gen10,Proc: 2x Intel Xeon-Gold 5222 4-jadro 3.8GHz,RAM: 256GB,Disk: 2x SSD 800GB SAS SFF, Radic: HPE Smart Array P204i-b SR Gen10 12G SAS Modular Controller, Ethernet: 2x 20Gbps + 1x 16Gbps FC host bus adapter, GPU: Zdiel., Vyhotovenie: rackmount, OS nezávislý systém manažment, Zaruka: 3</t>
  </si>
  <si>
    <t>Typ: HPE ProLiant BL460c Gen10,Proc: 2x Intel Xeon-Gold 6252 24-jadro 2.1GHz,RAM: 512GB,Disk: 2x SSD 800GB SAS SFF, Radic: HPE Smart Array P204i-b SR Gen10 12G SAS Modular Controller, Ethernet: 2x 20Gbps + 1x 16Gbps FC host bus adapter, GPU: Zdiel., Vyhotovenie: rackmount, OS nezávislý systém manažment, Zaruka: 3</t>
  </si>
  <si>
    <t>Typ: HPE ProLiant BL460c Gen10,Proc: 2x Intel Xeon-Gold 6252 24-jadro 2.1GHz,RAM: 1024GB,Disk: 2x SSD 800GB SAS SFF, Radic: HPE Smart Array P204i-b SR Gen10 12G SAS Modular Controller, Ethernet: 2x 20Gbps + 1x 16Gbps FC host bus adapter, GPU: Zdiel., Vyhotovenie: rackmount, OS nezávislý systém manažment, Zaruka: 3</t>
  </si>
  <si>
    <t>Typ: HPE Integrity BL860c,Proc: 2x Intel i6 Itanium 9750 4-jadro 2.53GHz,RAM: 384GB,Disk: 2x HDD 300GB SAS SFF, Radic: HPE Integrity RAID 1, Ethernet: neuvedené + 1x 16Gbps FC host bus adapter, GPU: Zdiel., Vyhotovenie: rackmount, OS nezávislý systém manažment, Zaruka: 3</t>
  </si>
  <si>
    <t>Typ: HPE Integrity BL860c,Proc: 2x Intel i6 Itanium 9760 8-jadro 2.67GHz,RAM: 384GB,Disk: 2x HDD 300GB SAS SFF, Radic: HPE Integrity RAID 1, Ethernet: neuvedené + 1x 16Gbps FC host bus adapter, GPU: Zdiel., Vyhotovenie: rackmount, OS nezávislý systém manažment, Zaruka: 3</t>
  </si>
  <si>
    <t>Typ: HPE Single Rank,Druh: DIMM kit,Kapacita: 8GB,Generacia: DDR4,Frekv.: 2666MHz,Zaruka: neuvedené</t>
  </si>
  <si>
    <t>Typ: HPE Dual Rank,Druh: DIMM kit,Kapacita: 32GB,Generacia: DDR4,Frekv.: 2666MHz,Zaruka: neuvedené</t>
  </si>
  <si>
    <t>Typ: HPE Dual Rank,Druh: DIMM kit,Kapacita: 64GB,Generacia: DDR4,Frekv.: 2666MHz,Zaruka: neuvedené</t>
  </si>
  <si>
    <t>Typ: HPE,Vyhot.: interný,Kapacita: 240GB,Rozmer: 2.5",Druh: SSD,Rozhranie: SATA 6Gb/s,Cache: neuvedené,Zaruka: 3</t>
  </si>
  <si>
    <t>Typ: HPE,Vyhot.: interný,Kapacita: 800GB,Rozmer: 2.5",Druh: SSD,Rozhranie: SATA 6Gb/s,Cache: neuvedené,Zaruka: 3</t>
  </si>
  <si>
    <t>Typ: HPE Ethernet 631SFP28 Adapter,Rozhranie: PCIe x1,Rychlost: 10/25Gbps,Zaruka: neuvedené</t>
  </si>
  <si>
    <t>Typ: HPE StoreFabric SN1600Q,Rozhranie: PCIe x1,Rychlost: 32Gbps FC, transceiver,Zaruka: neuvedené</t>
  </si>
  <si>
    <t>25Gbps FC transceiver,Typ: HPE SFP28,Rychlost: 25Gbps,Dosah: krátky,Zaruka: neuvedené</t>
  </si>
  <si>
    <t>16Gbps FC transceiver,Typ: HPE B-series SFP+ Long Wave,Rychlost: 16Gbps,Dosah: 10km,Zaruka: neuvedené</t>
  </si>
  <si>
    <t>32Gbps FC transceiver,Typ: HPE B-series SFP28,Rychlost: 32Gbps,Dosah: krátky,Zaruka: neuvedené</t>
  </si>
  <si>
    <t>Rozšír. Jednotka k disk. poľu,Typ: neuvedený,Kompat_pole: HPE 3PAR 8400,Pozicie: 24xSFF,Vyhotovenie: 2U,Disky: 24x HDD 1.2TB SFF,Zaruka: 3</t>
  </si>
  <si>
    <t>Rozšír. Jednotka k disk. poľu,Typ: neuvedený,Kompat_pole: HPE 3PAR 8400,Pozicie: 24xSFF,Vyhotovenie: 2U,Disky: 12x SSD 920GB SFF,Zaruka: 3</t>
  </si>
  <si>
    <t>Typ: HPE 3PAR 8400 4N,Technol.: SATA 6Gb/s,Radic: RAID0/1/5/6,Cache: 1664GB RAM,Disky: 64x HDD 1.2TB 10K SFF,Porty: 64 (rozšír.),Vyhotovenie: rackmount,4x16Gb FC,vzdialený prístup,Zaruka: 3</t>
  </si>
  <si>
    <t>Rozšír. Jednotka k disk. poľu,Typ: Dell EMC2 Unity 400 25x2.5 Drive DAE FLD RCK,Kompat_pole: Dell EMC2 Unity 400,Pozicie: 25xSFF,Vyhotovenie: 2U,Disky: 24x HDD 1.2TB 10K SAS SFF,Zaruka: neuvedené + 4h zásah</t>
  </si>
  <si>
    <t>Typ: Dell EMC Unity 400, Technol.: SAS3 s podporou NLSAS a SSD, Radic: 2x 12 Gbps RAID0-6, Cache: 48GB + 24GB (nie SSD cache), Disky: 64x 1200GB SAS SFF 10k/min, Porty: 2x4x16Gbps FC, 4x16Gbps FC LAN, Vyhotovenie: 2U, vzdialený prístup, automatický tiering, Zaruka: neuvedené + 4h zásah</t>
  </si>
  <si>
    <t>Rozšír. Jednotka k disk. poľu,Typ: Dell EMC2 Unity 500 25x2.5 Drive DPE FLD,Kompat_pole: Dell EMC2 Unity 500,Pozicie: 25xSFF,Vyhotovenie: 2U,Disky: 24x HDD 1.2TB 10K SAS SFF,Zaruka: neuvedené + 4h zásah</t>
  </si>
  <si>
    <t>Rozšír. Jednotka k disk. poľu,Typ: Dell EMC2 Unity 500 25x2.5 Drive DPE FLD,Kompat_pole: Dell EMC2 Unity 500,Pozicie: 25xSFF,Vyhotovenie: 2U,Disky: 12x FLASH 1.6TB SFF,Zaruka: neuvedené + 4h zásah</t>
  </si>
  <si>
    <t>Typ: Dell EMC Unity 500, Technol.: SAS3 s podporou NLSAS a SSD, Radic: 2x 12 Gbps RAID0-6, Cache: 5x400GB (nie SSD cache), Disky: 8x FLASH 1.6TB + 64x 1200GB SAS SFF 10k/min, Porty: 8x4x16Gbps FC, 4x16Gbps FC LAN, Vyhotovenie: 2U, vzdialený prístup, automatický tiering,Zaruka: neuvedené</t>
  </si>
  <si>
    <t>Typ: Dell EMC VPLEX VS6, Technol.: FC, Radic: neuvedený, Cache: neuvedená, Disky: FLASH pamäť s neuvedenou kapacitou, Porty: 8x4x16Gbps FC, 4x16Gbps FC + 10 Gbps LAN, Vyhotovenie: tower, vzdialený prístup, 350VA UPS,Zaruka: neuvedené + 4h zásah</t>
  </si>
  <si>
    <t>Typ: DELL 6610R-B FC switch,Porty/rychl.: 24x 16Gbps FC,Uroven: neuvedené,Vyhot.: 1U+1U,VLAN: bez,manažovaný,Zaruka: neuvedené</t>
  </si>
  <si>
    <t>Typ: DELL 6610R-B FC switch,Porty/rychl.: 24+32 (rozšír.) x16Gbps FC,Uroven: neuvedené,Vyhot.: 1U+1U,VLAN: bez,manažovaný,Zaruka: neuvedené</t>
  </si>
  <si>
    <t>Typ: DELL 6620R-B FC switch,Porty/rychl.: 24x 32Gbps FC,Uroven: neuvedené,Vyhot.: 1U,VLAN: bez,manažovaný,Zaruka: neuvedené + 4h zásah</t>
  </si>
  <si>
    <t>Typ: HPE StoreEver MSL2024 0-drive Tape Library,Technol.: pásková knižnica,Vyhotovenie: rackmount,Medium: pásky 30TB RW LTO-8 Data Cartridge,Pocet_mech.: 24,Pocet_kap_media: 24x 30TB + 1x cistiace,Komp_rozhrania: 8Gb FC,Upgrade kit,Zaruka: 3</t>
  </si>
  <si>
    <t>Typ: HPE StoreEver MSL6480 0-drive Tape Library,Technol.: pásková knižnica,Vyhotovenie: rackmount,Medium: pásky 30TB RW LTO-8 Data Cartridge,Pocet_mech.: 80,Pocet_kap_media: 80x 30TB + 1x cistiace,Komp_rozhrania: 8Gb FC,Upgrade kit,Zaruka: 3</t>
  </si>
  <si>
    <t>Zálohovacie médium - páska,Typ: HPE LTO-7M Ultrium RW Data Cartridge,Kapacita: 20x 15TB,Zaruka: neuvedené</t>
  </si>
  <si>
    <t>Zálohovacie médium - páska,Typ: HPE LTO-8 Ultrium RW Data Cartridge,Kapacita: 20x 30TB,Zaruka: neuvedené</t>
  </si>
  <si>
    <t>Čistiace médium - páska,Typ: HPE Ultrium Universal Cleaning Cartridge,Kapacita: bez,Zaruka: neuvedené</t>
  </si>
  <si>
    <t>Typ: Dell EMC DD6300, Technol.: SAS, Radic: neuvedený, Cache: neuvedená, Disky: spolu 45TB neurčeného typu, Porty: 4x16Gbps FC + 4x10 Gbps LAN, Vyhotovenie: 2U, vzdialený prístup,Zaruka: neuvedené</t>
  </si>
  <si>
    <t>Typ: Dell EMC DD6800, Technol.: SAS, Radic: neuvedený, Cache: neuvedená, Disky: spolu 90TB neurčeného typu, Porty: 4x16Gbps FC + 4x10 Gbps LAN, Vyhotovenie: 2U, vzdialený prístup,Zaruka: neuvedené</t>
  </si>
  <si>
    <t>Rozšír. Jednotka k disk. poľu,Typ: Dell EMC2 DD6300 upgrade,Kompat_pole: Dell EMC2 DD6300,Pozicie: 15xSFF,Vyhotovenie: neuvedené,Disky: 15x 3TB SAS HDDZaruka: neuvedené + 4h zásah</t>
  </si>
  <si>
    <t>Rozšír. Jednotka k disk. poľu,Typ: Dell EMC2 DD6800 upgrade,Kompat_pole: Dell EMC2 DD6800,Pozicie: 15xSFF,Vyhotovenie: neuvedené,Disky: 15x 3TB SAS HDDZaruka: neuvedené + 4h zásah</t>
  </si>
  <si>
    <t>Typ: Cisco ISR 4331,Porty/rychl.: 3x1Gbit,Uroven: neuvedené,Vyhot.: 1U,VLAN: neuvedené,Zaruka: 3 + 24/7</t>
  </si>
  <si>
    <t>Typ: Cisco ASR 1001-X,Porty/rychl.: 4x1Gbit + 2x10Gbit,Uroven: neuvedené,Vyhot.: neuvedené,VLAN: neuvedené,Zaruka: 3 + 24/7</t>
  </si>
  <si>
    <t>Typ: Cisco ASR 1004,Porty/rychl.: 5+5x1Gbit + 6x10Gbit,Uroven: neuvedené,Vyhot.: neuvedené,VLAN: neuvedené,Zaruka: 3 + 24/7</t>
  </si>
  <si>
    <t>Typ: Cisco Catalyst 9200L,Porty/rychl.: 48x 1Gbps + 4x 10Gbps,Uroven: neuvedené,Vyhot.: neuvedené,VLAN: 4096,Zaruka: 3 + 24/7</t>
  </si>
  <si>
    <t>Typ: Cisco Catalyst 9300,Porty/rychl.: 48x 1Gbps + 8x 10Gbps,Uroven: neuvedené,Vyhot.: neuvedené,VLAN: 4094,Zaruka: 3 + 24/7</t>
  </si>
  <si>
    <t>Typ: Cisco Catalyst 9300 PoE,Porty/rychl.: 48x 1Gbps + 8x 10Gbps + PoE,Uroven: neuvedené,Vyhot.: neuvedené,VLAN: 4094,Zaruka: 3 + 24/7</t>
  </si>
  <si>
    <t>Typ: Cisco Catalyst 9400,Porty/rychl.: 48x 1Gbps + 24x10Gbps SFP + 2x 25Gbps FC,Uroven: neuvedené,Vyhot.: neuvedené,VLAN: neuvedené,Zaruka: 3 + 24/7</t>
  </si>
  <si>
    <t>Typ: Cisco Catalyst 9400,Porty/rychl.: 24x 10/25Gbps + 4x40/100Gbps,Uroven: neuvedené,Vyhot.: neuvedené,VLAN: neuvedené,Zaruka: 3 + 24/7</t>
  </si>
  <si>
    <t>Typ: Cisco Nexus 5596,Porty/rychl.: 48x 10Gbps + 2x6x1Gbps SFP + 16x10Gbps-SR SFP + 2x10Gbps SFP+,Uroven: neuvedené,Vyhot.: neuvedené,VLAN: neuvedené,Zaruka: 3 + 24/7</t>
  </si>
  <si>
    <t>Typ: HPE 5900,Porty/rychl.: 48x 1Gbps,Uroven: neuvedené,Vyhot.: 1U,VLAN: nie,Zaruka: 3</t>
  </si>
  <si>
    <t>Typ: Cisco CP-8865-K9,Porty: 2x1Gbit,Video: 720p+kamera,Displej: Farba 800x480,RychlVolby: 10+4,Protokoly: SCCP alebo SIP,VLAN: 802.1q,Handsfree: bluetooth 3.0+analóg,Ostatne: PoE, switch na prip. K PC 1Gbit+wifi, USB,Zaruka: 3 + 24/7</t>
  </si>
  <si>
    <t>Typ: Cisco CP-8851,Porty: 1x1Gbit,Video: 720p+kamera,Displej: Farba 800x480,RychlVolby: 5,Protokoly: neuvedené,VLAN: neuvedené,Handsfree: bluetooth 3.0+analóg,Ostatne: PoE, switch na prip. K PC 1Gbit, USB,Zaruka: 3 + 24/7</t>
  </si>
  <si>
    <t>Typ: Cisco CP-8831,Porty: 1x100Mbit,Video: nie,Displej: Monochrom 396x162,RychlVolby: 5,Protokoly: neuvedené,VLAN: neuvedené,Handsfree: analógový reproduktor,Ostatne: bez,Zaruka: 3 + 24/7</t>
  </si>
  <si>
    <t>Typ: F5 BIG-IP WAF i2800,Porty: 10+1Gbps LAN,VPN: neuvedené,VLAN: neuvedené,Podpora: 24/7 replacement,Zaruka: neuvedené</t>
  </si>
  <si>
    <t>Typ: F5 BIG-IP WAF i5800,Porty: 10+1Gbps LAN,VPN: neuvedené,VLAN: neuvedené,Podpora: 24/7 replacement,Zaruka: neuvedené</t>
  </si>
  <si>
    <t>Typ: F5 BIG-IP WAF i7800,Porty: 10+1Gbps LAN,VPN: neuvedené,VLAN: neuvedené,Podpora:24/7 replacement,Zaruka: neuvedené</t>
  </si>
  <si>
    <t>Typ: F5 BIG-IP Viprion 2400 LTM + chassis + 2250 Blade rozšír.,Porty: 10+1Gbps LAN,VPN: neuvedené,VLAN: neuvedené,Podpora: 24/7 replacementé,Zaruka: neuvedené</t>
  </si>
  <si>
    <t>Typ: Gemalto DSX-50,Proc: 1x Intel Xeon 4-jadro,RAM: 8GB,Disk: 1x 146GB OS + 2x 146GB RAID1 data, Radic: RAID0/1, Ethernet: 1Gbps, GPU: Zdiel., Vyhotovenie: 2U, Zaruka: neuvedené + 24/7 6h oprava</t>
  </si>
  <si>
    <t>Prihlasovací token,Typ: Gemalto Ezio Pico HW token,Zaruka: neuvedené</t>
  </si>
  <si>
    <t>Prihlasovací token,Typ: Gemalto Ezio SW e-token,Zaruka: neuvedené</t>
  </si>
  <si>
    <t>Typ: Checkpoint 6500 NGTP,Porty:  4x 10Gbps SFP+ + 8x1Gbps LAN,VPN: neuvedené,VLAN: 1024 fyzických, 4096 virtuálnych,Podpora: IPv6+filter, IPv4 NAT, NAT64, NAT46, OSPFv2+v3, SNMPv2+v3, NTP, AD, RADIUS, LDAP, QoS, PIM-SM, PIM-SSM, PIM-DM, IGMP v2+v3, monitoring,Zaruka: 3 enterprise</t>
  </si>
  <si>
    <t>Typ: Checkpoint 6500 NGTP + Maestro orchestrator 140,Porty:  4x 10Gbps SFP+ + 8x1Gbps LAN + 8x 100Gbps (orch.) + 48x10Gbps (orch.),VPN: neuvedené,VLAN: 1024 fyzických, 4096 virtuálnych,Podpora: IPv6+filter, IPv4 NAT, NAT64, NAT46, OSPFv2+v3, SNMPv2+v3, NTP, AD, RADIUS, LDAP, QoS, PIM-SM, PIM-SSM, PIM-DM, IGMP v2+v3, monitoring,Zaruka: 3 enterprise</t>
  </si>
  <si>
    <t>Zariadenie na správu firewallov,Typ: SMART 1 mgmt 5050 appliance,PocetFW: 50,Zaruka: neuvedené</t>
  </si>
  <si>
    <t>Typ: Checkpoint 6800 NGTP,Porty:  4x 10Gbps + 10x 1Gbps + 8x 1GbE FC,VPN: neuvedené,VLAN: 1024 fyzických, 4096 virtuálnych,Podpora: IPv6+filter, IPv4 NAT, NAT64, NAT46, OSPFv2+v3, SNMPv2+v3, NTP, AD, RADIUS, LDAP, QoS, PIM-SM, PIM-SSM, PIM-DM, IGMP v2+v3, monitoring,Zaruka: 3 enterprise</t>
  </si>
  <si>
    <t>Typ: Checkpoint Maestro 2x6800 NGTP,Porty:  4+4x 10Gbps + 10+10x 1Gbps + 8+8x 1GbE FC + 8x 100Gbps (orch.) + 48x10Gbps (orch.),VPN: neuvedené,VLAN: 1024 fyzických, 4096 virtuálnych,Podpora: IPv6+filter, IPv4 NAT, NAT64, NAT46, OSPFv2+v3, SNMPv2+v3, NTP, AD, RADIUS, LDAP, QoS, PIM-SM, PIM-SSM, PIM-DM, IGMP v2+v3, monitoring,Zaruka: 3 enterprise</t>
  </si>
  <si>
    <t>Typ: CISCO ASA 5525-X,Porty: 8x GE,VPN: 750 IPSec,VLAN: 200,Podpora: 3DES/AES 300Mbps, URL filter, IKE 1+2, SHA-2, IPv6+filter, IPv4 NAT, NAT64, OSPFv2+v3, SNMPv2+v3, NTP, RADIUS, LDAP, QoS, ochrana proti DoS, inšpekcia protokolov, ochrana proti IP spoofingu, PIM-SM, IGMP, IEEE 802.1q, monitoring,Zaruka: 3</t>
  </si>
  <si>
    <t>Typ: CISCO ASA 5545-X,Porty: 8x GE,VPN: 2500 IPSec,VLAN: 300,Podpora: 3DES/AES 400Mbps, URL filter, IKE 1+2, SHA-2, IPv6+filter, IPv4 NAT, NAT64, OSPFv2+v3, SNMPv2+v3, NTP, RADIUS, LDAP, QoS, ochrana proti DoS, inšpekcia protokolov, ochrana proti IP spoofingu, PIM-SM, IGMP, IEEE 802.1q, monitoring,Zaruka: 3</t>
  </si>
  <si>
    <t>Typ: Fortigate 100E,Porty:  14x 1Gbps LAN,VPN: neuvedené,VLAN: neuvedené,Podpora: neuvedené,Zaruka: neuvedené + 24/7 zásah</t>
  </si>
  <si>
    <t>Typ: Fortigate 1000D,Porty:  2x10Gbps + 16x 1Gbps SFP + 16x 1Gbps LAN,VPN: neuvedené,VLAN: neuvedené,Podpora: IPv4 + IPv6, NAT44, NAT444, NAT46, 4G,Zaruka: neuvedené + 24/7 zásah</t>
  </si>
  <si>
    <t>Typ: Fortigate 1500D,Porty:  8x 10Gbps SFP + 16x 1Gbps SFP + 16x 1Gbps LAN,VPN: neuvedené,VLAN: neuvedené,Podpora: IPv4 + IPv6, NAT44, NAT444, NAT46, 5G,Zaruka: neuvedené + 24/7 zásah</t>
  </si>
  <si>
    <t>Zariadenie na sledovanie trafficu,Typ: Flowmon Probe 1000,Zaruka: neuvedené + 1 rok podpora</t>
  </si>
  <si>
    <t>Zariadenie na sledovanie trafficu,Typ: Flowmon Probe 4000,Zaruka: neuvedené + 1 rok podpora</t>
  </si>
  <si>
    <t>Typ: Checkpoint DDoS Protector 20,Porty:  4x 40Gbps QSFP+ + 20x 10Gbps SFP+,VPN: neuvedené,VLAN: neuvedené,Podpora: VLAN tagging, L2TP, MPLS, GRE, GTP,Zaruka: 3 enterprise</t>
  </si>
  <si>
    <t>Typ: Fidelis Network K2 Device,Porty: 4x 1Gbps LAN + Admin network + ILO,Proc.: Dual Intel Xeon Gold 6134 8-jadro 3.2GHz,RAM: 128GB,Disk: 6x HDD 3.6TB RAID5,Vyhotovenie: 1U,Zaruka: 3+24/7 onsite</t>
  </si>
  <si>
    <t>Úložisko a podpora 10Gbps k sieťovému analyzátoru,Typ: Fidelis Collector Controller 10G + Collector XA4,Porty: 4x10Gbps + Admin + ILO,Kapacita: 4x SSD 240GB RAID1 + 22x HDD RAID10, spolu 13.2TB,Zaruka: 3+24/7 onsite</t>
  </si>
  <si>
    <t>Sonda pre sieťový analyzátor,Typ: Fidelis Network Device,Rychl.: do 1Gbps,Zaruka: 3+24/7 onsite</t>
  </si>
  <si>
    <t>Sonda pre sieťový analyzátor,Typ: Fidelis Network Device,Rychl.: do 5Gbps,Zaruka: 3+24/7 onsite</t>
  </si>
  <si>
    <t>https://crz.gov.sk/zmluva/5874553</t>
  </si>
  <si>
    <t>https://www.crz.gov.sk/data/att/2961120.pdf</t>
  </si>
  <si>
    <t xml:space="preserve">Typ: iiyama ProLite TE7504MIS-B1AG,Disp.:75" 4K Ultra HD 3840x2160 75Hz,Zaruka:2 </t>
  </si>
  <si>
    <t>Typ: HP Omen GT13-0009nc,RAM: 64 GB 3200MHz DDR4,Disk: 1TB SSD,OS: Windows 10,Zaruka: 2</t>
  </si>
  <si>
    <t>Typ: HTC Vive Pro Full kit,Rozsah: 360°,Disp.: Amoled 3,5" 2280x1600,Batéria: 10 500 mAh,Zaruka: 2</t>
  </si>
  <si>
    <t>Typ: VRgineers lnc. XTAL 8K,Disp: 7680x2160 75Hz 4K 120Hz QHD,Rozsah: 180°,Zaruka:2</t>
  </si>
  <si>
    <t>Typ: Facebook Oculus Quest 2,Rozsah:360°,RAM: 6GB,Disp.: 1920x1832,Disk: 64GB,Zaruka:2</t>
  </si>
  <si>
    <t>Rámcová dohoda č. 145/2019 „Server a hardvér“</t>
  </si>
  <si>
    <t>https://crz.gov.sk/4295037</t>
  </si>
  <si>
    <t>https://www.crz.gov.sk/data/att/4295041_dokument1.pdf</t>
  </si>
  <si>
    <t>Typ: OfficePro 3050A, RAM: 16GB DDR4 2400MHz, Disk: 512 GB SSD 4TB HDD 5400rpm, VGA: MSI Radeon RX 570, Proc.: 12-jadro AMD Ryzen Threadripper 1920X  3,5GHz,Zaruka: 2</t>
  </si>
  <si>
    <t>Typ: LG LED 27UD88-W,Velkost: 27", Rozlisenie: 3840x2160px, Jas: 350cd/m2,Zaruka: 2</t>
  </si>
  <si>
    <t>Typ: Logitech MK345, Prip: Bezdrôtová,Zaruka: 2</t>
  </si>
  <si>
    <t>Typ: Logitech MK345,Prip: Bezdrôtová,Zaruka: 2</t>
  </si>
  <si>
    <t>Typ: QNAP TS-431X-8G,RAM: 8GB DDR3,Proc.: Alpine Al212 Dual core 1,7GHz,Disk: 4x 2,5"/3,5" SATA 6Gb/s,Zaruka: 2</t>
  </si>
  <si>
    <t>Typ: OKI C843dn,Formát: A3,Rozlisenie: 1200dpi,Zaruka: 2</t>
  </si>
  <si>
    <t>Typ: HP Designjet T520,Technologia: Atrament,Rozlisenie: 1200 dpi,Formát: A0,Zaruka: 2</t>
  </si>
  <si>
    <t>Typ: PowerEdge VRTX,Výška: 5U,Kapacita: 25x 2,5" disk,Zaruka: 2</t>
  </si>
  <si>
    <t>Typ: PowerEdge M640,RAM: 8x 32GB RDIMM 2666MT/s,Disk: 2x 120GB SSD,Zaruka: 2</t>
  </si>
  <si>
    <t>Typ: Dell NetShelter SX 42U, Vyska: 42U,Zaruka: 2</t>
  </si>
  <si>
    <t>Typ: Dell Smart-UPS SRT 3000VA RM,Vykon: 2700W,Zaruka: 3</t>
  </si>
  <si>
    <t>Typ: Dell 18,5in LED KMM, Zásuvný s EN klávesnicou,Zaruka: 2</t>
  </si>
  <si>
    <t>Typ: Synology RS3617RPxs, Kapacita: 12x2,5"/3,5" HDD,RAM: 8GB,Proc.: Intel Xeon D-1521 4 jadrá, Disk: 12x 6TB 7200rpm SATA HDD,Zdroj: 2x 500W,Zaruka 3 HDD/ 5 NAS</t>
  </si>
  <si>
    <t>Kúpna  zmluva</t>
  </si>
  <si>
    <t>https://crz.gov.sk/zmluva/5752312</t>
  </si>
  <si>
    <t>https://www.crz.gov.sk/data/att/2884857.pdf, https://www.crz.gov.sk/data/att/2884858.pdf</t>
  </si>
  <si>
    <t>Typ: Lenovo ThinkPad P14s Gen1, RAM: 16GB, Proc.: passmark 15000, Disk: SSD 512GB, Disp: FHD,Zaruka: 3</t>
  </si>
  <si>
    <t>Typ: Lenovo ThinkPad Thunderbolt™ 3 DOCK GEN2,Porty: 2x USB 2.0 3x USB 3.1 1x USB C,Zaruka: 3</t>
  </si>
  <si>
    <t>Typ: neuvedené,Rozhranie: CZ+SK,Zaruka: 1</t>
  </si>
  <si>
    <t>Typ: Lenovo ThinkVision T25d-10,Rozlisenie: 1920x1200px, Frekv.: 60Hz, Velkost: 24",Kontrast: 1000:1,Zaruka: 3</t>
  </si>
  <si>
    <t>https://crz.gov.sk/4798515</t>
  </si>
  <si>
    <t>https://www.crz.gov.sk/data/att/4798517_dokument1.pdf</t>
  </si>
  <si>
    <t>Typ: HPE DL380 Gen10, Proc.: Intel Xeon-Silver 4208 (2.1GHz/8-core/85W), RAM: 64GB,Zaruka: 3</t>
  </si>
  <si>
    <t>Typ: HPE SN6000B, Porty: 48x 16Gbps, Uroven: neuvedene, Vyhotovenie: neuvedene, Zaruka: 3</t>
  </si>
  <si>
    <t>Typ: Catalyst 9500, Porty: 16x 1Gbps, Uroven: neuvedene, Vyhotovenie: neuvedene, Zaruka: 3</t>
  </si>
  <si>
    <t>https://crz.gov.sk/4049710</t>
  </si>
  <si>
    <t>https://www.crz.gov.sk/data/att/4049758_dokument1.pdf</t>
  </si>
  <si>
    <t>Typ: neuvedene, Proc.: 4-jadro passmark 7500,Disk: SSD NVMe 256GB,RAM: 8GB, Disp: FHD matny, Kontrast:700:1,Zaruka: 3</t>
  </si>
  <si>
    <t>Typ: neuvedene, Velkost: 23.8" 1920x1080px,Frekv.: 60Hz,Odozva: 4ms,Zaruka: 3</t>
  </si>
  <si>
    <t>Typ: neuvedene, Porty: 2x USB 3.1 + 2x USB 2.0 1X VGA,Zdroj: 90W,Zaruka: 3</t>
  </si>
  <si>
    <t>Nákup výpočtovej techniky - počítače, monitory, tlačiarne</t>
  </si>
  <si>
    <t>https://crz.gov.sk/3932451</t>
  </si>
  <si>
    <t>https://www.crz.gov.sk/data/att/3932452_dokument.pdf</t>
  </si>
  <si>
    <t>Typ: HP ProDesk 600 G4,RAM: 8GB,Disk: 500GB 7200rpm, Proc.: 4-jadro Intel Core i5 7500 7Gen 3.4,Zaruka: 3</t>
  </si>
  <si>
    <t>Typ: HP EliteDesk 800 G4,RAM: 16GB,Disk: 1TB 7200 rpm + 256GB M.2,Zaruka: 3</t>
  </si>
  <si>
    <t>Typ: HP VH240a,Velkost: 23.8", Rozlisenie: 1920x1080px,Odozva: 7ms, Frekv.: 60Hz, Povrch: antireflexny,Zaruka: 3</t>
  </si>
  <si>
    <t>Typ: Dell S2718H, Velkost:27",Rozlisenie: 1820x1080px,Frekv.: 60Hz,Zaruka: 3</t>
  </si>
  <si>
    <t>Typ: HP 650g4,Disp: FHD 15.6",Proc.: 4-jadro 1.8GHz,RAM: 8GB,Disk: HDD 1TB 7200rpm,VGA: zdiel,Zaruka: 3</t>
  </si>
  <si>
    <t>Typ: HP 640g4,Disp: FHD 14",Proc.: 4-jadro 1.8GHz,RAM: 16GB,Disk: HDD 1TB 7200rpm,VGA: zdiel,Zaruka: 3</t>
  </si>
  <si>
    <t>Typ: Minolta Bizhub C308, Format: A3,Zaruka: 3</t>
  </si>
  <si>
    <t>Typ: HP LaserJet Pro M402n,Format: A4, Rozlisenie: neuvedene,Zaruka: 3</t>
  </si>
  <si>
    <t>Typ: HP LaserJet Pro MFP M26nw,Fromat: A4,Rozlisenie: neuvedene,Zaruka: 3</t>
  </si>
  <si>
    <t>Typ: Epson WorkForce DS-1660W,Rozlisenie: 600dpi,Obojstranne skenovanie: ano,Rozhranie: USB + WIFI,Zaruka: 3</t>
  </si>
  <si>
    <t>Typ: Seagate Expansion Desktop,Kapacita: 2TB, Externy, Zaruka: 3</t>
  </si>
  <si>
    <t>Typ: Kingston DataTraveler 100 G3,Kapacita: 16GB,Zaruka: 3</t>
  </si>
  <si>
    <t>Zmluva o dodaní tovarov a poskytnutí súvisiacich služieb</t>
  </si>
  <si>
    <t>https://crz.gov.sk/zmluva/5017846</t>
  </si>
  <si>
    <t>https://www.crz.gov.sk/data/att/2445570.pdf</t>
  </si>
  <si>
    <t>Typ: Samsung Galaxy Tab A10.1,Proc.:1,8GHz,RAM: 2GB,Disk:32GB,OS: Android,Rozlisenie: 1920x1200,Kamera: 8MPx,Bateria: 6150mAh,Zaruka: 2</t>
  </si>
  <si>
    <t>Kúpna zmluva č. 2019/214 – Výpočtová technika a periférie</t>
  </si>
  <si>
    <t>https://crz.gov.sk/3938617</t>
  </si>
  <si>
    <t>https://www.crz.gov.sk/data/att/3938619_dokument1.pdf</t>
  </si>
  <si>
    <t>Typ: HP PageWide Enteprise Color MFP 586dn,Format: A4,Rozlisenie: 600dpi, Farba: ano,Zaruka: 5</t>
  </si>
  <si>
    <t>Typ: HP PageWide 777z,Format: A3,Farba: ano,Rozlisenie: 600dpi,Zaruka: 5</t>
  </si>
  <si>
    <t>Typ: HP 705 G4,Proc.: 4-jadro passmark: 5677,RAM: 4GB,Disk: 500GB HDD 7200 rpm,OS: Windows 10 Pro SK 64,Zaruka: 5</t>
  </si>
  <si>
    <t>Typ: HP 705 D4,Proc.: passmark 8060,RAM: 8GB,Disk: 256 GB SSD, OS: Windows 10 Pro SK,Zaruka: 5</t>
  </si>
  <si>
    <t>Typ: HP EliteDixplax E243,Velkost: 23.8",Kontrast: 1000:1,Rozlisenie: 1920x1080px,Frek.: 60Hz,Odozva: 5 ms,Zaruka: 5</t>
  </si>
  <si>
    <t>Typ: HP EliteDixplax E243i,Velkost: 24",Kontrast: 1000:1,Rozlisenie: 1920x1080px,Frek.: 60Hz, Odozva: 5ms,Zaruka: 5</t>
  </si>
  <si>
    <t>Kúpna zmluva č. OVO1-2019/000486-002</t>
  </si>
  <si>
    <t>https://crz.gov.sk/4313122</t>
  </si>
  <si>
    <t>https://www.crz.gov.sk/data/att/4313125_dokument1.pdf</t>
  </si>
  <si>
    <t>Typ: HP Z4 G4,Proc.: 10-jadro passmark 21600,RAM: 32 GB,Disk: SSD 512 GB HDD 4TB 7200 rpm,</t>
  </si>
  <si>
    <t>Typ: Xerox VersaLink C7030_S,Farba: ano,Technol.: laser,Skener: ano,Format: A3,Rozl.: 1200 dpi,Zaruka: 2</t>
  </si>
  <si>
    <t>Typ: Triumph Board 65",Velkost: 65",Zaruka: 2</t>
  </si>
  <si>
    <t>Typ: Epson EB-2142W,Technol.: 3LCD,Rozlisenie: 1280x800px,Svietivost: 4200lm,Kontrast: 15000:1,Zaruka: 2</t>
  </si>
  <si>
    <t>Kúpna zmluva č. OVO1-2019/000472-016</t>
  </si>
  <si>
    <t>https://crz.gov.sk/4178604</t>
  </si>
  <si>
    <t>https://www.crz.gov.sk/data/att/4178609_dokument1.pdf</t>
  </si>
  <si>
    <t>Typ: DELL P2319H, Velkost: 23",Rozl.: 1920x1280px,Kontrast: 1000:1,Frekv.: 60Hz,Odozva: 8ms,Zaruka: 3 on-site 24/7</t>
  </si>
  <si>
    <t>Typ: DELL C5519Q,Velkost: 55",Rozl.:3840x2160px,Kontrast: 4000:1,Frekv.: 60Hz,Odozva: 8ms,Zaruka: 3 on-site 24/7</t>
  </si>
  <si>
    <t>Kúpna zmluva č. 9001/0054/21</t>
  </si>
  <si>
    <t>https://crz.gov.sk/zmluva/6070742</t>
  </si>
  <si>
    <t>https://www.crz.gov.sk/data/att/3081004.pdf</t>
  </si>
  <si>
    <t>Typ: KELine 15U,Vyska: 15U,príslušenstvo,Zaruka: neuvedené</t>
  </si>
  <si>
    <t>Typ: KELine,Vyhot.: bal. 7500m,Spec.: CAT6a STP LSOH,Zaruka: neuvedené</t>
  </si>
  <si>
    <t>Typ: Huawei CE6881-48S6CQ-B L3 switch,Porty/rychl.: 48x10Gbps + 6x100Gbps SFP+,Uroven: 3,Vyhot.: 1U,VLAN: neuvedené,manažovaný,Zaruka: neuvedené</t>
  </si>
  <si>
    <t>Typ: Huawei S5735-L48P4X-A1 L2 switch,Porty/rychl.: 48x1Gbps + 4x10Gbps SFP+,Uroven: 2,Vyhot.: 1U,VLAN: neuvedené,manažovaný,Zaruka: neuvedené</t>
  </si>
  <si>
    <t>Typ: Aruba AP-535 (RW) Unified AP,Urcenie: interiér,LAN: 1x1Gbps,Pasma: 2,4+5GHz,Rychl.: 2.4Gbps + 1.147Gbps,Normy: 802.11a/b/g/n/ac wave2/ax + PoE + IEEE 802.3bt + MIMO 4x4:4,Roaming: neuvedené,Max. SSID: 16,Zaruka: 3+NBD</t>
  </si>
  <si>
    <t>Typ: Aruba AP-505 (RW) Unified AP,Urcenie: interiér,LAN: 1x1Gbps,Pasma: 2,4+5GHz,Rychl.: 1.2Gbps + 574Mbps,Normy: 802.11a/b/g/n/ac wave2/ax + PoE + IEEE 802.3af + MIMO 2x2:2,Roaming: neuvedené,Max. SSID: 16,Zaruka: 3+NBD</t>
  </si>
  <si>
    <t>Typ: Sophos XG 650 Ng Firewall Appliance,Porty: 6x10+10x1Gbps LAN,VPN: IPSec, SSL, L2TP, OpenVPN,VLAN: áno,Podpora: MS AD, Radius, LDAP,Zaruka: neuvedené</t>
  </si>
  <si>
    <t>Zmluva na dodanie a inštaláciu Diskových úložísk</t>
  </si>
  <si>
    <t>https://crz.gov.sk/4663425</t>
  </si>
  <si>
    <t>https://www.crz.gov.sk/data/att/4663615_dokument1.pdf</t>
  </si>
  <si>
    <t>Typ: IBM Storwize V5100 NVMe Control Enclosure,Technol.:NVMe/Flash,Radic: PCIe NVMe RAID0/1 + distributed RAID5/6,Cache: 448GB RAM,Disky: 13x 9.6TB FCM NVMe SFF,Porty: 10Gbps + 25Gbps + 16Gbps FC + 32GB FC,Vyhotovenie: 2U,vzdialený prístup,Zaruka:3+24/7 podpora</t>
  </si>
  <si>
    <t>Typ: IBM Storwize V5100 NVMe Control Enclosure,Technol.:NVMe/Flash,Radic: PCIe NVMe RAID0/1 + distributed RAID5/6,Cache: 448GB RAM,Disky: 7x 9.6TB FCM NVMe SFF,Porty: 10Gbps + 25Gbps + 16Gbps FC + 32GB FC,Vyhotovenie: 2U,vzdialený prístup,Zaruka:3+24/7 podpora</t>
  </si>
  <si>
    <t>Zmluva o dielo č. 4/KP/2022</t>
  </si>
  <si>
    <t>https://crz.gov.sk/zmluva/6155202</t>
  </si>
  <si>
    <t>https://www.crz.gov.sk/data/att/3131885.pdf</t>
  </si>
  <si>
    <t>Typ: APC NetShelter SX 42U + APC Smart-UPS SRT 3000VA,Vyska: 42U,VykonUPs: 3000VA,Zaruka: neuvedené</t>
  </si>
  <si>
    <t>Typ: Dell PowerEdge R740, Proc: 2x 16-jadro,RAM: 256GB,Disk: neuvedené,Radic: RAID0/1/5/6/10 8GB cache, Ethernet: 4x 1Gbps + 2x 10Gbps SFP+, GPU: Zdiel., Vyhotovenie: neuvedené, OS nezávislý systém manažment, Zaruka: 3+9/5 NBD</t>
  </si>
  <si>
    <t>Typ: Dell PowerEdge R740, Proc: 1x 10-jadro,RAM: 64GB,Disk: HDD 2x 600GB 15000rpm SAS,Radic: RAID0/1/5/6/10 8GB cache, Ethernet: 4x 1Gbps + 2x 10Gbps SFP+, GPU: Zdiel., Vyhotovenie: neuvedené, OS nezávislý systém manažment, Zaruka: 3+9/5 NBD</t>
  </si>
  <si>
    <t>Typ:Huawei OceanStor V5,Technol.:SAS 12Gbps,Radic: 2x SAS RAID0/1/3/5/6/10/50,Cache: 32GB RAM na radič,Disky: 12x 2.4TB SAS 12Gbps 10000rpm,Porty: 2x 4x 10Gbps SFP+ + 2x 4x 16Gbps FC,Vyhotovenie: rackmount,vzdialený prístup,Zaruka:3 + 9/5 NBD</t>
  </si>
  <si>
    <t>Typ: HPE RDX External Docking Station,Technol.: HDD knižnica,Vyhotovenie: na stôl s voliteľnou sadou na montáž do racku 1U,Medium: HDD HPE RDX Removable Disk Cartridge,Pocet_mech.: 1,Pocet_kap_media: 7x4TB,Komp_rozhrania: USB 3.0,Zaruka: neuvedené</t>
  </si>
  <si>
    <t>Typ: Fortigate-200F + Unified Threat Protection na 3 roky,Porty: 18x 1Gbps + 8x 1Gbps SFP+ + 4x10Gbps SFP+ LAN,VPN: neuvedené,VLAN: neuvedené,Podpora: neuvedené,Zaruka: 3+24x7 NBD</t>
  </si>
  <si>
    <t>Typ: Cisco Catalyst 9300,Porty/rychl.: 24x 1Gbps + 8x 10Gbps SFP,Uroven: neuvedené,Vyhot.: neuvedené,VLAN: neuvedené,Zaruka: 3 (podpora)</t>
  </si>
  <si>
    <t>Rámcová zmluva o dodávke komponentov bezpečnostnej infraštruktúry a súvisiacich službách</t>
  </si>
  <si>
    <t>https://crz.gov.sk/zmluva/5877256</t>
  </si>
  <si>
    <t>https://www.crz.gov.sk/data/att/2962881.pdf, https://www.crz.gov.sk/data/att/2962882.pdf</t>
  </si>
  <si>
    <t>Typ: Fortigate-201F,Porty: 18x 1Gbps + 8x 1Gbps SFP+ + 4x10Gbps SFP+ LAN,VPN: SSL, IPSec,VLAN: 4000,Podpora: antivírus, antimalvér,Zaruka: 5+24x7 NBD</t>
  </si>
  <si>
    <t>Typ: Fortigate-601E,Porty: 10x 1Gbps + 8x 1Gbps SFP+ + 2x10Gbps SFP+ LAN,VPN: SSL, IPSec,VLAN: 4000,Podpora: MS AD, DNS filter, antivírus, antimalvér,Zaruka: 3+24x7 NBD</t>
  </si>
  <si>
    <t>Kúpna zmluva č. 2020/282 - Výpočtová technika a periférne zariadenia</t>
  </si>
  <si>
    <t>https://crz.gov.sk/zmluva/5315732</t>
  </si>
  <si>
    <t>https://www.crz.gov.sk/data/att/2623947.pdf</t>
  </si>
  <si>
    <t>Typ: HP EliteDesk 805 G6 SFF,Proc: 6-jadro passmark 16370,RAM: 8GB,Disk: SSD SATA 256GB,VGA: zdiel.,OS: Win10, klávesnica, myš, DVD,Zaruka: 5+NBD</t>
  </si>
  <si>
    <t>Typ: HP Probook 650 G8,Proc.: 2-jadro passmark 6233,RAM: 8GB,Disk: SSD SATA 512GB,VGA: zdiel.,Disp: FHD,OS: Win10, klávesnica, myš, TPM, DVD, dokovacia stanica,Zaruka: 5+NBD</t>
  </si>
  <si>
    <t>Typ: HP Elitebook 845 G7,Proc.: 6-jadro passmark 12843,RAM: 8GB,Disk: SSD SATA 512GB,VGA: zdiel.,Disp: FHD,OS: Win10, klávesnica, myš, TPM, dokovacia stanica,Zaruka: 5+NBD</t>
  </si>
  <si>
    <t>Typ: HP Probook 650 G8,Proc.: 4-jadro passmark 10508,RAM: 16GB,Disk: SSD SATA 256GB,VGA: zdiel.,Disp: FHD,OS: Win10, klávesnica, myš, TPM, DVD ext., dokovacia stanica,Zaruka: 5+NBD</t>
  </si>
  <si>
    <t>Typ: HP EliteDisplay E243,Rozlisenie:1920x1080,Frekv:60 Hz,Velkost: 23.8",Kontrast:1000:1,Vstupy:VGA,DP,HDMI,matný, nastaviteľný,Zaruka:5+NBD</t>
  </si>
  <si>
    <t>Typ: HP EliteDisplay E243i,Rozlisenie:1920x1200,Frekv:60 Hz,Velkost: 24",Kontrast:1000:1,Vstupy:VGA,DP,HDMI,matný, nastaviteľný,Zaruka:5+NBD</t>
  </si>
  <si>
    <t>Typ: HP Z24n G2,Rozlisenie:1920x1200,Frekv:60 Hz,Velkost: 24" LED,Kontrast:1000:1,Vstupy:DP,HDMI,matný, nastaviteľný,Zaruka:5+NBD</t>
  </si>
  <si>
    <t>Typ: HP LaserJet Pro M404dn,Technologia: laser,Farba: nie,Format papiera: A4,Rozhrania: USB, Ethernet,RAM: 256MB,Rozlisenie: 1200dpi,Duplex: áno,Zasobnik: 250+100 listov,Zaruka: 5</t>
  </si>
  <si>
    <t>Typ: HP PageWide Pro 452dw,Technologia: atrament,Farba: áno,Format papiera: A4,Rozhrania: USB, Ethernet, wifi,RAM: 512MB,Rozlisenie: 600dpi,Duplex: áno,Zasobnik: 500+50 listov,Zaruka: 5</t>
  </si>
  <si>
    <t>Typ: HP LaserJet Pro MFP M428,Technologia: laser,Farba: nie,Formaty: A4,Rozhrania: USB, ethernet,RAM: 512MB,Pam. karta: bez,Zasobnik: 250+100,R. tlace: 600dpi,R. kopirky: 600dpi,R. skenera: 600dpi,Duplex: áno,Zaruka: 5+NBD</t>
  </si>
  <si>
    <t>Typ: HP PageWide Enterprise Color MFP 780dn,Technologia: atrament,Farba: áno,Formaty: A3,Rozhrania: USB, ethernet,RAM: 3.5GB,Pam. karta: bez,Zasobnik: 250+100,R. tlace: 600dpi,R. kopirky: 600dpi,R. skenera: 600dpi,Duplex: áno,Zaruka: 5+NBD</t>
  </si>
  <si>
    <t>Typ: HP Color LaserJet Enterprise Flow MFP M880z,Technologia: laser,Farba: áno,Formaty: A3,Rozhrania: USB, ethernet,RAM: 2.5GB,Pam. karta: HDD 320GB,Zasobnik: 2000+100,R. tlace: 1200dpi,R. kopirky: 600dpi,R. skenera: 600dpi,Duplex: áno,Zaruka: 5+NBD</t>
  </si>
  <si>
    <t>Kúpna zmluva č. SE-VO1-2021/001908-013</t>
  </si>
  <si>
    <t>https://crz.gov.sk/zmluva/5856338</t>
  </si>
  <si>
    <t>https://www.crz.gov.sk/data/att/2950304.pdf</t>
  </si>
  <si>
    <t>Typ: Dell OptiPlex 3080 Micro XCTO,Proc.: passmark 8342,RAM: 8GB,Disk: SSD NVMe 256GB,VGA: zdiel.,OS: Win10Pro, klávesnica, myš,Zaruka: neuvedené</t>
  </si>
  <si>
    <t>Typ: Dell Latitude 3210 CTO,Proc.: passmark 6507,RAM: 16GB,Disk: SSD NVMe 512GB,VGA: zdiel.,Disp: FHD,OS: Win10Pro, taška, myš,Zaruka: neuvedené</t>
  </si>
  <si>
    <t>Typ: Dell Latitude 5420 XCTO Base,Proc.: passmark 10327,RAM: 16GB,Disk: SSD NVMe 512GB,VGA: zdiel.,Disp: FHD,OS: Win10Pro, taška, myš, dokovacia stanica,Zaruka: neuvedené</t>
  </si>
  <si>
    <t>Typ: Dell P2421,Rozlisenie: 1920x1200,Frekv: 60 Hz,Velkost: 24",Kontrast: 1000:1,Vstupy: DP, HDMI, VGA, DVI, matný, nastaviteľný,Zaruka: neuvedené</t>
  </si>
  <si>
    <t>Typ: OKI MC338dn MFP,Technologia: laser,Farba: áno,Formaty: A3,Rozhrania: USB, ethernet,RAM: 1,26GB,Pam. karta: neuvedené,Zasobnik: 3x, bez uvedenej kapacity,R. tlace: 1200dpi,R. kopirky: neuvedené,R. skenera: neuvedené,Duplex: áno,Zaruka: neuvedené</t>
  </si>
  <si>
    <t>Typ: OKI B432dn,Technologia: led,Farba: áno,Formaty: A4,Rozhrania: USB, ethernet, wifi,RAM: neuvedené,Pam. karta: bez,Zasobnik: neuvedené,Rozlisenie: 1200dpi,Duplex: áno,Zaruka: neuvedené</t>
  </si>
  <si>
    <t>Typ: Asus External Slim SDRW-08D2S-U,Vyhot.: externá,Media: CD,CD-R,CD-RW,DVD,DVD-RW,DVD-R+,DVD-R-,Rychlost: 8x (DVD),Rozhranie: USB 2.0,Zaruka: neuvedené</t>
  </si>
  <si>
    <t>Typ: Seagate Backup Plus Ultra Touch,Vyhot.: externý,Kapacita: 1TB,Rozmer: 2.5",Druh: HDD,Rozhranie: USB 3.0,Cache: neuvedené,Zaruka: neuvedené</t>
  </si>
  <si>
    <t>Typ: Samsung BAR Plus Titan Gray,Kapacita: 64GB,Rozhranie: USB 3.2,Zaruka: neuvedené</t>
  </si>
  <si>
    <t>Typ: Creative LIVE! CAM SYNC 1080P,Rozlisenie: 1920x1080,CCD: 15MPx,FPS: 30,Rozhranie: USB,Zaruka: neuvedené</t>
  </si>
  <si>
    <t>Typ: Creative Inspire T10,Kanaly: 2,Vykon: 2x 5W,Pripojenie:jack,Korekcie: neuveené,Bat.: nie,Zaruka: neuvedené</t>
  </si>
  <si>
    <t>Podložka pod myš, Typ: Canyon CND-CM P8,Rozmery: 40 x 35 x 0.3cm,Zaruka: neuvedené</t>
  </si>
  <si>
    <t>https://crz.gov.sk/zmluva/6110251</t>
  </si>
  <si>
    <t>https://www.crz.gov.sk/data/att/3104269.pdf</t>
  </si>
  <si>
    <t>Typ: Dell PowerEdge R750, Proc: 2x Intel Xeon Gold 5317 12-jadro 3.0GHz,RAM: 512GB,Disk: 2x SSD NVMe 480GB + 6 pozícií pre NVMe disky + 24 pozícií na SFF hotswap disky, Radic: neuvedené, Ethernet: 2x 10Gbps SFP+ + 6x 1Gbps + 2x 16Gbps FC, GPU: Zdiel.,Vyhotovenie: 2U, OS nezávislý systém manažment, Zaruka: 5+NBD</t>
  </si>
  <si>
    <t>Typ: Dell PowerEdge R650, Proc: 2x Intel Xeon Silver 4310 12-jadro 2.1GHz,RAM: 512GB,Disk: 2x SSD NVMe 480GB + 8 pozícií na SFF hotswap disky, z toho aspoň 4 NVMe, Radic: neuvedené, Ethernet: 2x 10Gbps SFP+ + 6x 1Gbps + 2x 16Gbps FC, GPU: Zdiel.,Vyhotovenie: 1U, OS nezávislý systém manažment, Zaruka: 5+NBD</t>
  </si>
  <si>
    <t>Typ: Dell PowerEdge R750, Proc: 1x 16-jadro 3.1GHz,RAM: 128GB,Disk: 2x SSD NVMe 480GB + 8x SSD NVMe 3.84TB + 4 pozície na SFF hotswap disky SAS + 2 pozície pre SFF hotswap disky NVMe, Radic: NVMe RAID0-10 8GB Cache + SAS 12Gbps + SATA 6Gbps autotiering pre 4 vrstvy, Ethernet: 2x 10Gbps SFP+ + 6x 1Gbps + 4x 16Gbps FC (osadené MM min. na 2 kartách), GPU: Zdiel.,Vyhotovenie: 2U, OS nezávislý systém manažment, Zaruka: 5+NBD</t>
  </si>
  <si>
    <t>Typ: Cisco C9300-48T,Porty/rychl.: 48x 1Gbps + 4x 1/10Gbps FC SFP Uplink,Uroven: neuvedené,Vyhot.: 1U,VLAN: 4000,Zaruka: 5+8x5NBD</t>
  </si>
  <si>
    <t>Typ: Connectrix DS-6610B 8P/24P Switch,Porty/rychl.: 24x 16Gbps FC SFP+ (min. 8 osadených MM s licenciou),Uroven: neuvedené,Vyhot.: 1U,VLAN: neuvedené,Zaruka: 5+NBD</t>
  </si>
  <si>
    <t>Typ: APC Smart-UPS SRT 5000VA, Spinanie: online,Vykon: 3600W,Vyhot.: 9U,Zaruka: 5+onsite</t>
  </si>
  <si>
    <t>Kúpna zmluva č. 2020/237 - Výpočtová technika a periférie</t>
  </si>
  <si>
    <t>https://crz.gov.sk/4965151</t>
  </si>
  <si>
    <t>https://www.crz.gov.sk/data/att/4965203_dokument1.pdf</t>
  </si>
  <si>
    <t>Typ: HP EliteDesk 705 G5 SFF,Proc: 4-jadro passmark 7354,RAM: 4GB,Disk: HDD SATA 500GB 7200RPM,VGA: zdiel.,OS: Win10Pro, klávesnica, myš, DVD,Zaruka: 5+NBD</t>
  </si>
  <si>
    <t>Typ: HP EliteDesk 705 G5 SFF,Proc: 4-jadro passmark 9502,RAM: 8GB,Disk: SSD SATA 256GB,VGA: zdiel.,OS: Win10Pro, klávesnica, myš, DVD,Zaruka: 5+NBD</t>
  </si>
  <si>
    <t>Typ: HP Probook 650 G5,Proc.: 4-jadro passmark 7987,RAM: 4GB,Disk: HDD SATA 500GB,VGA: zdiel.,Disp: FHD,OS: Win10, TPM, DVD, dokovacia stanica,Zaruka: 5+NBD</t>
  </si>
  <si>
    <t>Typ: HP EliteBook 840 G6,Proc.: 4-jadro passmark 7987,RAM: 8GB,Disk: SSD SATA 512GB,VGA: zdiel.,Disp: FHD,OS: Win10, TPM, dokovacia stanica,Zaruka: 5+NBD</t>
  </si>
  <si>
    <t>Typ: HP EliteDisplay E243,Rozlisenie:1920x1080,Frekv:60 Hz,Velkost: 23.8",Kontrast:1000:1,Vstupy: VGA, DP, HDMI, USB, matný, nastaviteľný,Zaruka: 5</t>
  </si>
  <si>
    <t>Typ: HP EliteDisplay E243i,Rozlisenie:1920x1200,Frekv:60 Hz,Velkost: 24",Kontrast:1000:1,Vstupy: VGA, DP, HDMI, USB, matný, nastaviteľný,Zaruka: 5</t>
  </si>
  <si>
    <t>Typ: HP LaserJet Pro M404dn,Technologia: laser,Farba: nie,Formaty: A4,Rozhrania: USB, ethernet,RAM: 256MB,Pam. karta: bez,Zasobnik: 250 + 100 listov,Rozlisenie: 1200dpi,Duplex: áno,Zaruka: 5+NBD</t>
  </si>
  <si>
    <t>Typ: HP LaserJet Pro MFP M428fdn,Technologia: laser, Farba: nie,Formaty: A4,Rozhrania: USB, ethernet, wifi,RAM: 512MB,Pam. karta: bez,Zasobnik: 250 + 100,R. tlace: 600dpi,R. kopirky: 600dpi,R. skenera: 600dpi,Duplex: áno,Zaruka: 5+NBD</t>
  </si>
  <si>
    <t>Typ: HP PageWide Enterprise Color MFP 586dn,Technologia: atrament,Farba: áno,Formaty: A4,Rozhrania: USB, ethernet, wifi,RAM: 2GB,Pam. karta: bez,Zasobnik: 500 + 50,R. tlace: 600dpi,R. kopirky: 600dpi,R. skenera: 600dpi,Duplex: áno,Zaruka: 5+NBD</t>
  </si>
  <si>
    <t>Typ: HP PageWide Enterprise Color MFP 780dn,Technologia: atrament,Farba: áno,Formaty: A3,Rozhrania: USB, ethernet,wifi,RAM: 3.5GB,Pam. karta: bez,Zasobnik: 550+100,R. tlace: 600dpi,R. kopirky: 600dpi,R. skenera: 600dpi,Duplex: áno,Zaruka: 5+NBD</t>
  </si>
  <si>
    <t>Typ: HP PageWide Enterprise Color MFP M880z,Technologia: laser,Farba: áno,Formaty: A3,Rozhrania: USB, ethernet,wifi,RAM: 2.5GB,Pam. karta: HDD 320GB,Zasobnik: 2000+100,R. tlace: 1200dpi,R. kopirky: 600dpi,R. skenera: 600dpi,Duplex: áno,Zaruka: 5+NBD</t>
  </si>
  <si>
    <t>https://crz.gov.sk/zmluva/6213547</t>
  </si>
  <si>
    <t>https://www.crz.gov.sk/data/att/3165025.pdf</t>
  </si>
  <si>
    <t>Typ: HP ProDesk 400 G6,Proc: 6-jadro passmark 8252,RAM: 8GB,Disk: SSD NVMe 256GB,VGA: zdiel.,OS: Win10, klávesnica, myš,Zaruka: neuvedené</t>
  </si>
  <si>
    <t>Typ: AOC 24E1Q,Rozlisenie:1920x1080,Frekv:60 Hz,Velkost: 23.8",Kontrast:1000:1,Vstupy: VGA, DP, HDMI, matný, nastaviteľný,Zaruka: neuvedené</t>
  </si>
  <si>
    <t>Typ: HP Z4 G4 Workstation 1000W,Proc: 10-jadro passmark 22659,RAM: 16GB,Disk: SSD NVMe 512GB,VGA: zdiel./voľný slot,OS: neuvedené,Zaruka: neuvedené</t>
  </si>
  <si>
    <t>Typ: LiteOn eBAU108,Vyhot.: externá,Media: CD,CD-R,CD-RW,DVD,DVD-RW,DVD-R+,DVD-R-,Rychlost: 8x (DVD),Rozhranie: USB 2.0,Zaruka: neuvedené</t>
  </si>
  <si>
    <t>Typ: HPE 2Rx4 PC4-2933Y-R Smart Kit,Druh: DIMM,Kapacita: 32GB,Generacia: DDR4,Frekv.: 2933MHz,Zaruka: neuvedené</t>
  </si>
  <si>
    <t>Typ: HP LaserJet Pro MFP M428fdn,Technologia: laser, Farba: nie,Formaty: A4,Rozhrania: USB, ethernet, wifi,RAM: 512MB,Pam. karta: 512MB flash,Zasobnik: 250 + 100,R. tlace: 600dpi,R. kopirky: 600dpi,R. skenera: 600dpi,Duplex: áno,Zaruka: neuvedené</t>
  </si>
  <si>
    <t>Typ: HP LaserJet Pro M501dn,Technologia: laser,Farba: nie,Formaty: A4,Rozhrania: USB, ethernet,RAM: 256MB, Pam. Karta: neuvedené,Zasobnik: 650,Rozlisenie: 600dpi,Duplex: áno,Zaruka: neuvedené</t>
  </si>
  <si>
    <t>Typ: Samsung 860 Pro,Vyhot.: interný,Kapacita: 1TB,Rozmer: 2.5",Druh: SSD,Rozhranie: SATA 6Gb/s,Cache: neuvedené,Zaruka: neuvedené</t>
  </si>
  <si>
    <t>Typ: HP Smart Array P440ar,Technol.: SAS,Porty: 2x 12Gbps,UrovenRAID: 0+1,Cache: 2GB,Zaruka: neuvedené</t>
  </si>
  <si>
    <t>Typ: HPE Ethernet 562SFP+ Adapter,Rozhranie: PCIe x1,Rychlost: 10/25Gbps,Zaruka: neuvedené</t>
  </si>
  <si>
    <t>Typ: Mikrotik CRS317-1G-16S+RM,Porty/rychl.: 16x 10Gbps FC SFP+ + 1x 1Gbps,Uroven: 3,Vyhot.: 1U,VLAN: áno, počet neuvedený,Zaruka: neuvedené</t>
  </si>
  <si>
    <t>Typ: Ubiquiti UniFi Dream Machine Pro,Porty/rychl.: 8x 1Gbps LAN + 1x 1Gbps WAN + 1x 1/10Gbps SFP+ LAN + 1x 1/10Gbps SFP+ WAN,Uroven: neuvedené,Vyhot.: 1U,VLAN: neuvedené,Zaruka: neuvedené</t>
  </si>
  <si>
    <t>MM SFP+ modul,Typ: Mikrotik,Rychl.: 10/100/1000Mbps/2.5/5/10Gbps,Konektor: RJ45,Zaruka: neuvedené</t>
  </si>
  <si>
    <t>Typ: QNAP QXG-10G2SF-CX4,Rozhranie: PCIe x8,Rychlost: 10Gbps,Zaruka: neuvedené</t>
  </si>
  <si>
    <t>Typ: Dell S2721D,Rozlisenie: 2560x1440,Frekv: 75 Hz,Velkost: 27",Kontrast:1000:1,Vstupy: DP, HDMI, matný,Zaruka: neuvedené</t>
  </si>
  <si>
    <t>Typ: Ubiquiti UniFi AC PRO,Urcenie: exteriér,LAN: 2x 1Gbps,Pasma: 2.4+5GHz,Rychl.: 450Mbps + 1.3Gbps,Normy: 802.11a/b/g/n/ac + PoE + MIMO 3x3:3,Roaming: áno,Max. SSID: 4,Zaruka: neuvedené</t>
  </si>
  <si>
    <t>Typ: Canon i-Sensys MF744Cdw,Technologia: laser,Farba: áno,Formaty: A4,Rozhrania: USB, ethernet,wifi,RAM: 1GB,Pam. karta: bez,Zasobnik: neuvedené,R. tlace: 1200dpi,R. kopirky: 600dpi,R. skenera: 600dpi,Duplex: áno,Zaruka: neuvedené</t>
  </si>
  <si>
    <t>Typ: Lenovo ThinkStation P620 TWR,Proc: 32-jadro passmark 63043,RAM: 32GB,Disk: SSD NVMe 256GB,VGA: nezdiel Nvidia RTX A4000 16GB GDDR6 passmark 16026,OS: Win10Pro, 10GE,klávesnica, myš,Zaruka: neuvedené</t>
  </si>
  <si>
    <t>Typ: Mikrotik CRS326-24S+2Q+RM,Porty/rychl.: 24x 10Gbps SFP+ + 2x 40Gbps QSFP+,Uroven: 3,Vyhot.: 1U,VLAN: áno, počet neuvedený,Zaruka: neuvedené</t>
  </si>
  <si>
    <t>Typ: HP EliteBook Folio 1040 G3,Proc.: 2-jadro passmark 3468,RAM: 16GB,Disk: SSD SATA 120GB,VGA: zdiel.,Disp: FHD,OS: Win10Pro, TPM, dokovacia stanica,Zaruka: neuvedené</t>
  </si>
  <si>
    <t>Numerická klávesnica,Typ: Genius NumPad 100,Rozhranie: USB,Zaruka: neuvedené</t>
  </si>
  <si>
    <t>Kúpna zmluva č. 557/OI/2018</t>
  </si>
  <si>
    <t>https://crz.gov.sk/3852833</t>
  </si>
  <si>
    <t>https://www.crz.gov.sk/data/att/3852836_dokument1.pdf, https://www.crz.gov.sk/data/att/3852839_dokument1.pdf</t>
  </si>
  <si>
    <t>Typ: TP-Link TL-WR841N,Porty/rychl.: 4x 1Gbps + WIFI 300Mbps,Uroven: neuvedené,Vyhot.: komerčné,VLAN: nie,Zaruka: neuvedené</t>
  </si>
  <si>
    <t>Typ: TP-Link TL-WN725N,Rozhranie: USB,Rychlost: WIFI 150Mbps,Zaruka: neuvedené</t>
  </si>
  <si>
    <t>Typ: TP-Link TL-WA850RE,Porty: 1x 1Gbps + WIFI 300Mbps,Zaruka: neuvedené</t>
  </si>
  <si>
    <t>Typ: TP-Link TL-WA801ND,Urcenie: interiér,LAN: 1x 1Gbps,Pasma: 2.4GHz,Rychl.: 300Mbps,Normy: 802.11b/g/n + PoE injektor,Roaming: nie,Max. SSID: multi - nešpec.,Zaruka: neuvedené</t>
  </si>
  <si>
    <t>Typ: SLDF5EOUT-305-BK,Vyhot.: bal. 300m lanko,Spec.: CAT5e FTP,Zaruka: neuvedené</t>
  </si>
  <si>
    <t>Typ: NEONOP49330 outdoor,Vyhot.: bal. 305m box,Spec.: CAT5e UTP,Zaruka: neuvedené</t>
  </si>
  <si>
    <t>Typ: TP-Link TL-SF1005D,Porty/rychl.: 5x 100Mbps,Uroven: neuvedené,Vyhot.: stolový, nemanažovaný,VLAN: nie,Zaruka: neuvedené</t>
  </si>
  <si>
    <t>Typ: CyberPower UT650E-FR, Spinanie: line-interactive,Vykon: 360W,Vyhot.: tower,Zaruka: neuvedené</t>
  </si>
  <si>
    <t>Typ: PowerBank ColorWay,Vystupy: 2x USB 5V/1A,Vstupy: 1x microUSB 5V/1A,Kapacita: 8000mAh,Zaruka: neuvedené</t>
  </si>
  <si>
    <t>Typ: ActiveJet AMY-320BK,Technol.: optická bezdrôtová,Rozlisenie: 1600dpi,Rozhranie: USB 2.0,Zaruka: neuvedené</t>
  </si>
  <si>
    <t>Typ: Esperanza Extreme Camille 3D XM102K,Technol.: optická drôtová,Rozlisenie: 1000dpi,Rozhranie: USB,Zaruka: neuvedené</t>
  </si>
  <si>
    <t>Typ: KB-102M-U-BL,Pripoj.: drôtová,Rozlozenie: CZ+SK,Rozhranie: USB,Zaruka: neuvedené</t>
  </si>
  <si>
    <t>Typ: Genius mouse DX-110,Technol.: optická drôtová,Rozlisenie: 1000dpi,Rozhranie: USB,Zaruka: neuvedené</t>
  </si>
  <si>
    <t>Numerická klávesnica,Typ: KPD-U-01,Rozhranie: USB,Zaruka: neuvedené</t>
  </si>
  <si>
    <t>Typ: Logitech S120,Kanaly: 2,Vykon: 2x5W,Pripojenie:jack,Korekcie: len hlasitosť,Bat.: nie,Zaruka: neuvedené</t>
  </si>
  <si>
    <t>Typ: Genius headset HS400A,Kanaly: 2,Vykon: neuvedené,Pripojenie:jack,Korekcie: bez,Bat.: nie,Zaruka: neuvedené</t>
  </si>
  <si>
    <t>Typ:  ClipTec Card Reader RZR502,Podp. karty: SD, MMC, MS, T-Flash, M2, CF, xD 6 slotov,Rozhranie: USB 2.0,Zaruka: neuvedené</t>
  </si>
  <si>
    <t>Typ: Axago HUE-X3,Porty: neuvedený počet USB 2.0,Napajanie: z USB,Vypinanie: nie,Zaruka: neuvedené</t>
  </si>
  <si>
    <t>Replikátor portov,Typ: Delock 87297,Rozhrania: 1Gbps LAN, miniDP, HDMI-A, VGA, USB-C, 3x USB 3.0, jack, SD, MMC, MicroSD,Zaruka: neuvedené</t>
  </si>
  <si>
    <t>Typ: Asus ZenDrive U8M Silver,Vyhot.: externá,Media: minidisc,CD,CD-R,CD-RW,DVD,DVD-RW,DVD-R+,DVD-R-,Rychlost: 8x (DVD),Rozhranie: USB 2.0,Zaruka: neuvedené</t>
  </si>
  <si>
    <t>Typ: Maxtor M3 Portable,Vyhot.: externý,Kapacita: 2TB,Rozmer: 2.5",Druh: HDD,Rozhranie: USB 3.0,Cache: 2GB,Zaruka: neuvedené</t>
  </si>
  <si>
    <t>Typ: Adata UV310,Kapacita: 32GB,Rozhranie: USB 3.1,Zaruka: neuvedené</t>
  </si>
  <si>
    <t>Typ: DatAshur Pro,Kapacita: 64GB,Rozhranie: USB 3.1, šifrovanie 256-bit AES,Zaruka: neuvedené</t>
  </si>
  <si>
    <t>Typ: SanDisk microSDHC Card,Kapacita: 32GB,Rychlost: neuvedené, adaptér na USB,Zaruka: neuvedené</t>
  </si>
  <si>
    <t>Typ:  Axagon CRE-D4B,Podp. karty: SD, MMC, MS,Rozhranie: USB 2.0,Zaruka: neuvedené</t>
  </si>
  <si>
    <t>Typ: WD RED,Vyhot.: interný,Kapacita: 4TB,Rozmer: 3.5",Druh: HDD 7200,Rozhranie: SATA 6Gb/s,Cache: neuvedené,Zaruka: neuvedené</t>
  </si>
  <si>
    <t>Typ: Intel SSD 545S Series,Vyhot.: interný,Kapacita: 256GB,Rozmer: 2.5",Druh: SSD 3D NAND,Rozhranie: neuvedené,Cache: neuvedené,Zaruka: neuvedené</t>
  </si>
  <si>
    <t>Typ: Adata Micro SDXC,Kapacita: 32GB,Rychlost: UHS-II,Zaruka: neuvedené</t>
  </si>
  <si>
    <t>Typ: WD Blue SSD,Vyhot.: interný,Kapacita: 500GB,Rozmer: 2.5",Druh: SSD 3D NAND,Rozhranie: SATA III 6Gbps,Cache: neuvedené,Zaruka: neuvedené</t>
  </si>
  <si>
    <t>Typ: Logitech SET MK235,Popis: bezdrôtová súprava, nízkoprofilové klávesy, dosah 10m, výdrž batérií 3 roky, vodeodolná klávesnica,Zaruka: neuvedené</t>
  </si>
  <si>
    <t>Typ: ATEN,Porty: 2x USB 2.0,Napajanie: z USB,Vypinanie: nie,Zaruka: neuvedené</t>
  </si>
  <si>
    <t>Typ: ActiveJet AMY-313,Technol.: optická bezdrôtová,Rozlisenie: 1200dpi,Rozhranie: proprietárne,Zaruka: neuvedené</t>
  </si>
  <si>
    <t>Typ: Kingston HyperX Fury,Druh: DIMM,Kapacita: 4GB,Generacia: DDR3,Frekv.: 1333MHz,Zaruka: neuvedené</t>
  </si>
  <si>
    <t>Typ: Kingston SR X8 CL9,Druh: SO-DIMM,Kapacita: 4GB,Generacia: DDR3,Frekv.: 1333MHz,Zaruka: neuvedené</t>
  </si>
  <si>
    <t>Typ: Dell A7187318 2Rx4 server RAM,Druh: DIMM,Kapacita: 16GB,Generacia: DDR3,Frekv.: 1866MHz,Zaruka: neuvedené</t>
  </si>
  <si>
    <t>Nákup počítačového zariadenia a obstaranie IKT</t>
  </si>
  <si>
    <t>https://crz.gov.sk/4310897</t>
  </si>
  <si>
    <t>https://www.crz.gov.sk/data/att/4310898_dokument.pdf</t>
  </si>
  <si>
    <t>Typ: HPE ProLiant DL380 G10, Proc: 2x Intel Xeon-Gold 6254 18-jadro 3.1GHz,RAM: 512GB,Disk: 2x SSD 400GB SAS 12Gbps SFF, Radic: SAS/SATA RAID 0/1/5/6 2GB Cache, Ethernet: 1x 10/25Gbps, GPU: Zdiel., Vyhotovenie: 2U, OS nezávislý systém manažment, Zaruka: 3+6hod+24/7</t>
  </si>
  <si>
    <t>Typ: HPE ProLiant DL380 G10, Proc: 2x Intel Xeon-Gold 6242 16-jadro 2.8GHz,RAM: 512GB,Disk: 2x SSD 400GB SAS 12Gbps SFF, Radic: SAS/SATA RAID 0/1/5/6 2GB Cache, Ethernet: 1x 10/25Gbps, GPU: Zdiel., Vyhotovenie: 2U, OS nezávislý systém manažment, Zaruka: 3+6hod+24/7</t>
  </si>
  <si>
    <t>Typ: HPE ProLiant DL380 G10, Proc: 2x Intel Xeon-Gold 5217 8-jadro 3.0GHz,RAM: 64GB,Disk: 2x SSD 400GB SAS 12Gbps SFF, Radic: SAS/SATA RAID 0/1/5/6 2GB Cache, Ethernet: 1x 10/25Gbps, GPU: Zdiel., Vyhotovenie: 2U, OS nezávislý systém manažment, Zaruka: 3+6hod+24/7</t>
  </si>
  <si>
    <t>Typ: HPE SN3000B QW937B,Porty/rychl.: 24x 16Gbps FC SFP+ (všetky osadené),Uroven: neuvedené,Vyhot.: 1U,VLAN: neuvedené,Zaruka: 3+6hod+24/7</t>
  </si>
  <si>
    <t>Typ: Cisco C9500-48Y-4C-A Catalyst 9500L DNA Premier High Advantage Program,Porty/rychl.: 48x25Gbps + 4x40/100Gbps FC Uplink,Uroven: 3,Vyhot.: 1U,VLAN: 4000,Zaruka: 3+2hod+24/7+3lic</t>
  </si>
  <si>
    <t>Typ: AOC I2790VQ/BT,Rozlisenie:1920x1080,Frekv:60 Hz,Velkost: 27",Kontrast:1000:1,Vstupy: HDMI, VGA,Zaruka: neuvedené</t>
  </si>
  <si>
    <t>Typ: HP Pavilion Gaming 690-0017nc,Proc: 6-jadro passmark 9241,RAM: 8GB,Disk: HDD SATA 1TB 7200,VGA: zdiel.,OS: Win10Pro, klávesnica, myš, DVD, čítačka kariet,Zaruka: neuvedené</t>
  </si>
  <si>
    <t>https://crz.gov.sk/4200826</t>
  </si>
  <si>
    <t>https://www.crz.gov.sk/data/att/4200828_dokument1.pdf, https://www.crz.gov.sk/data/att/4200829_dokument1.pdf</t>
  </si>
  <si>
    <t>Typ: HP Probook 440 G6,Proc.: 4-jadro passmark 7992,RAM: 8GB,Disk: SSD NVMe 512GB,VGA: zdiel.,Disp: FHD,OS: Win10Pro, TPM, taška,Zaruka: 2+onsite</t>
  </si>
  <si>
    <t>Typ: Apple iPad 512GB,Proc.: 8-jadro 64-bit,RAM: 4GB,Disk: CF 512GB,Disp.: retina,OS: iOS,wifi,Zaruka: 2</t>
  </si>
  <si>
    <t>Typ: HP EliteOne 800 G5 AiO,Proc: 6-jadro passmark 11911,RAM: 8GB,Disk: SSD NVMe 512GB,VGA: zdiel.,OS: Win10Pro, klávesnica, myš, DVD,Monitor: FHD 23.8",Zaruka: 2</t>
  </si>
  <si>
    <t>Typ: HP LaserJet Pro M203dn,Technologia: laser,Farba: nie,Formaty: A4,Rozhrania: USB, ethernet, airprint,RAM: 256MB,Pam. karta: nie,Zasobnik: 250,Rozlisenie: 1200dpi,Duplex: áno,Zaruka: 2</t>
  </si>
  <si>
    <t>Typ: HP LaserJet Enterprise M725dn,Technologia: laser,Farba: nie,Formaty: A3,Rozhrania: USB, ethernet,RAM: 1GB,Pam. karta: bez,Zasobnik: 500+100,R. tlace: 1200dpi,R. kopirky: 600dpi,R. skenera: 600dpi,Duplex: áno,Zaruka: neuvedené</t>
  </si>
  <si>
    <t>Typ: HP LaserJet Enterprise M775dn,Technologia: laser,Farba: áno,Formaty: A3,Rozhrania: USB, ethernet,RAM: 1.536GB,Pam. karta: HDD 320GB,Zasobnik: 250+100,R. tlace: 600dpi,R. kopirky: 600dpi,R. skenera: 600dpi,Duplex: áno,Zaruka: neuvedené</t>
  </si>
  <si>
    <t>Typ: Opticon OPR2001 USB-HID,Rychlost: 100 skenov/s,Kompatibilita: AN/UPC/EAN (WPC) incl. Add on, Chinese Post, Codabar/NW-7, Code 11, Code 39, Code 93, Code 128, IATA, Industrial 2of5, Interleaved 2of5, ISBN-ISMN-ISSN, Korean Postal Authority code, Matrix 2of5, MSI/Plessey-UK/Plessey, RSS, S-Code, Telepen, Tri-Optic, Composite codes,Rozhranie: USB,Zaruka: neuvedené</t>
  </si>
  <si>
    <t>Zmluva na dodávku serverov</t>
  </si>
  <si>
    <t>https://crz.gov.sk/zmluva/5048484</t>
  </si>
  <si>
    <t>https://www.crz.gov.sk/data/att/2467477.pdf, https://www.crz.gov.sk/data/att/2467486.pdf</t>
  </si>
  <si>
    <t>Typ: Lenovo ThinkSystem SR850,Proc: 4x CPU Intel Xeon Gold 6242 16-core,32-thread 2.8GHz,RAM: 1.5TB,Disk: SATA SSD 4x 480GB hotswap,Radic: SAS/SATA RAID0/1/10/5/50/60/60 4GB cache,Ethernet: 1+4x 1Gbps + 2x 10/25Gbps SFP28 + 2x 32Gbps FC + 4x SFP+ SR transceiver,GPU: Zdiel.,Vyhotovenie: rackmount,OS nezávislý systém manažment,Zaruka: 3+4hod+24/7</t>
  </si>
  <si>
    <t>Kúpna zmluva č. OVO1-2019/000769-009</t>
  </si>
  <si>
    <t>https://crz.gov.sk/4376282</t>
  </si>
  <si>
    <t>https://www.crz.gov.sk/data/att/4376285_dokument1.pdf</t>
  </si>
  <si>
    <t>Typ: HP Z6 G4,Proc: 10-jadro passmark 15650,RAM: 32GB,Disk: SSD NVMe 512GB šifrovaný,VGA: nezdiel. 4GB GDDR5 bližšie nešpec.,OS: Win10Pro, klávesnica, myš, BlueRay, čítačka kariet,Zaruka: neuvedené</t>
  </si>
  <si>
    <t>Typ: HP ZBook 15u G6,Proc.: 4-jadro passmark 8904,RAM: 16GB,Disk: SSD NVMe 512GB,VGA: nezdiel. 4GB GDDR5 bližšie nešpec.,Disp: FHD,OS: Win10Pro, TPM, dokovacia stanica, ext. klávesnica, ext. myš, taška,Zaruka: 2+onsite</t>
  </si>
  <si>
    <t>Typ: HP Z27,Rozlisenie:3840x2160,Frekv:60 Hz,Velkost: 27",Kontrast:1300:1,Vstupy: DP, miniDP, HDMI, USB-C, USB 3.0,Zaruka: neuvedené</t>
  </si>
  <si>
    <t>Typ: HP LT4120,Rozhranie: PCIe x1,Rychlost: neuvedené, pre VWAN,Zaruka: neuvedené</t>
  </si>
  <si>
    <t>Typ: HP ScanJet Pro 4500 fn1, Format: A4, Rozlisenie: 1200dpi, Zasobnik: 50, USB, LAN,Zaruka: 3</t>
  </si>
  <si>
    <t>Typ: HP Designjet T1700dr, 44",Technologia: termálna atramentová,Farba: áno,Formaty: A0,Rozhrania: USB, ethernet,RAM: 128GB,Pam. karta: HDD 500GB,Zasobnik: rolka/automatická rezačka,Rozlisenie: 2400x1200dpi,Zaruka: neuvedené</t>
  </si>
  <si>
    <t>Kúpna zmluva č. 9001/0053/21</t>
  </si>
  <si>
    <t>https://crz.gov.sk/zmluva/6063028</t>
  </si>
  <si>
    <t>https://www.crz.gov.sk/data/att/3076349.pdf</t>
  </si>
  <si>
    <t>Typ: HPE FlexNetwork 5510 48G 4SFP+ HI,Porty/rychl.: 48x 1Gbps + 4x 10Gbps SFP+ uplink + 40Gbps SFP+ uplink,Uroven: neuvedené,Vyhot.: 1U,VLAN: neuvedené,Zaruka: neuvedené</t>
  </si>
  <si>
    <t>Rozširovací modul k LAN prepínaču,Typ: HPE FlexNetwork 5510 2-port QSFP+ module,Porty: 2x 40Gbps QSFP+,Zaruka: neuvedené</t>
  </si>
  <si>
    <t>Transceiver k LAN prepínaču,Typ: HPE X140 40G QSFP+ LC BiDi 100-m MM camputransceiver,Porty: 1x LC 40Gbps QSFP+,PrenosVzd: 100m,Zaruka: neuvedené</t>
  </si>
  <si>
    <t>Transceiver k LAN prepínaču,Typ: HPE X130 10G SFP+ LC SR transceiver,Porty: 1x LC 10Gbps SFP+,PrenosVzd: 100m,Zaruka: neuvedené</t>
  </si>
  <si>
    <t>Typ: LCS3 CAT.6A flat 24 connector panel,Spec.: CAT5e až CAT8,Rozmer: 1U,PocetZasuviek: 24,Zaruka: neuvedené</t>
  </si>
  <si>
    <t>Typ: Aruba AP-514,Urcenie: interiér,LAN: 2x1Gbps,Pasma: 2,4+5GHz,Rychl.: 574Mbps/rádio,Normy: 802.11ac-af + e + n + PoE + MIMO 4x4,Roaming: áno,Max. SSID: 16,Zaruka: neuvedené</t>
  </si>
  <si>
    <t>Typ: Aruba 7205 2-port 10GBASE-X (SFP+) controller,PocetOvlAP: 256,Redundancia: áno,PocetSSID: 4096,Funkcie: Vyhodnocovanie kvality RF, detekcia Rogue AP, WIFI IDS, IPFix, L3 roaming, plánovanie sily signálu,Zaruka: neuvedené</t>
  </si>
  <si>
    <t>Kúpna zmluva č. SE-VO1-2021/002225-009</t>
  </si>
  <si>
    <t>https://crz.gov.sk/zmluva/5982785</t>
  </si>
  <si>
    <t>https://www.crz.gov.sk/data/att/3026840.pdf</t>
  </si>
  <si>
    <t>Typ: Intel NUC i7-10710U,Proc: 6-jadro passmark 10006,RAM: 8GB,Disk: SSD SATA 512GB,VGA: zdiel.,OS: Linux,Zaruka: neuvedené</t>
  </si>
  <si>
    <t>Typ: Samsung Galaxy A52,Proc.:neuvedené,RAM: neuvedené,Ulozisko: neuvedené,Fotoaparat: 64MPx,OS: Android 11,Zaruka: neuvedené</t>
  </si>
  <si>
    <t>Typ: Zebra Symbol LS2208,Rychlost: 100 skenov/s,Kompatibilita:UPC/EAN, UPC/EAN with Supplementals, UPC/ EAN 128, Code 39, Code 39 Full ASCII, Code 39 TriOptic, Code 128, Code 128 Full ASCII Codabar, Interleaved 2 of 5, Discrete 2 of 5, Code 93, MSI, Code 11, IATA, GS1 DataBar (formerly RSS) variants, Chinese 2 of 5,Rozhranie: USB,Zaruka: neuvedené</t>
  </si>
  <si>
    <t>Typ: ARH Osmond,Rozlisenie: 700 PPI,Kvalita: 24bit/pixel, resp. 8-bit/pixel v IR irežime,Rychlost: 100 skenov/s,Kompatibilita: ICAO dokumenty špecifikované pre ICAO 9303 časť 1, časť 1v2, časť 2, časť 3 a časť 3 v2 pre typ D-1, ID-2 a ID-3 MRZ optického rozlíšenia znakov,Rozhranie: USB,Zaruka: neuvedené</t>
  </si>
  <si>
    <t>Typ: Futronic FS52,Rozlisenie: 800x750 pixelov / 550 ppi,RychlSnimania: 15 FPS,Rozhranie: USB 2.0,Zaruka: neuvedené</t>
  </si>
  <si>
    <t>Typ: Wacom STU-430,RozlDisp: 320x200,RozlSnimania: 2540 lpi,Presnost: +/-0.5mm,Rychlost: 200 bodov/s,UrovnePritlaku: 1024,Sifrovanie: AES 256bit + RSA 2048bit,Rozhranie: USB,Zaruka: neuvedené</t>
  </si>
  <si>
    <t>Statív pod mobilný telefón na snímanie tváre,Typ: Velbon EX-Macro,Farba: čierna,PocetNoh: 3,MaxVyska: 56.3cm,Zavit: 1.4",Volnost: otáčanie okolo zvislej a vodorovnej osi, náklon na výšku,Zaruka: neuvedené</t>
  </si>
  <si>
    <t>Kúpna zmluva č. OVO1-2019000026-022</t>
  </si>
  <si>
    <t>https://crz.gov.sk/3990748</t>
  </si>
  <si>
    <t>https://www.crz.gov.sk/data/att/3990756_dokument1.pdf</t>
  </si>
  <si>
    <t>Typ: HP Color LaserJet Enterprise Flow MFP M880z+,Technologia: laser,Farba: áno, Formaty: A3-A5,Rozhrania: USB, Ethernet,RAM: 2.5GB, Hdd: 320GB, Zasobnik: 2000+100, R. tlace: 1200dpi, R. kopirky: 600dpi, R. skenera: 600dpi,Zaruka: 3+NBD</t>
  </si>
  <si>
    <t>Typ: HP Z4 G4,Proc: 10-jadro passmark 21600,RAM: 32GB,Disk: SSD 512GB,Disk 2: SATA III,VGA: nezdiel 8GB Nvidia RTX2070 passmark 13500,Optická mechanika: DVD+ RW, DVD- RW, DVD+ R SL/DVDR SL,OS: Bez OS podpora Microsoft Windows 10 Pro 64-bit SK,Digitalizačná snímacia jednotka: Virtuos CCD HT-310A umožňujúca spracovanie čiarového kódu Interleave2of5,Pripojiteľnosť USB,Záložný zdroj: CyberPower UT Series UPS 1500VA/900W UPS s 900W/1500 VA,Vstup 230 V,počet výstupov 4,Reproduktory: Logitech Z533 Performance Speakers - reproduktory 2.1, min 60W RMS,Klávesnica:bezdrôtová,SK lokalizácia,Myš: Logitech MX Master 2S, laserová, bezdrôtová bluetooth, USB-C, integrovaná batéria, min. 4000 DPI,Výrobca a model monitora 1: Fujitsu P27-8 TS UHD  Monitor 1: 27" 4K (3840x2160 px),antireflexný povrch, IPS, typ LCD, podsvietenie LED, Jas 350 cd/m2, 4x Porty USB 3.0, 2x HDMI, 1x DisplayPort, 1x miniDisplayPort) nastavenie výšky a sklonu  Výrobca a model monitora 2: Fujitsu P27-8 TS UHD  Monitor 2: 27" 4K (3840x2160 px),antireflexný povrch, IPS, typ LCD, podsvietenie LED, Jas 350 cd/m2, 4x Porty USB 3.0, 2x HDMI, 1x DisplayPort, 1x miniDisplayPort), nastavenie výšky a sklonu  Environmentálne charakteristiky: Energy Star,Zaruka: neuvedené</t>
  </si>
  <si>
    <t>Typ: Fujitsu ESPRIMO P558/E94+,Proc: 4-jadro passmark 8000,RAM: 8GB,Disk: SSD 128GB Disk 2: SATA III 500GB ,VGA:  zdiel,Optická mechanika: DVD+ RW, DVD- RW, DVD+ R SL / DVDR SL,OS: Bez OS, podpora Microsoft Windows 10 Pro 64-bit SK,  Digitalizačná snímacia jednotka: Virtuos CCD HT-310A umožňujúca spracovanie čiarového kódu Interleave2of5,   Monitor 1:Fujitsu P27-8 TS Pro  Monitor: 27" (2560x1440 px),Zaruka: neuvedene</t>
  </si>
  <si>
    <t>Typ: Xerox VersaLink C7030_S,Technologia: laser,Farba: áno,Formaty: A3,Rozhrania: USB, ethernet Gigabit Ethernet 10/100/1000Base-T,RAM: 4GB,Pam. karta: neuvedené,Zasobnik: 3x,Rozl. tlace: 1200dpi,Rozl. kopirky :1200x2400dpi,Rozl. skenera: 600dpi ČB/F,Duplex: áno,Zaruka: neuvedene</t>
  </si>
  <si>
    <t>Typ: Fujitsu ESPRIMO P558/E94+,Proc: 4-jadro passmark 15000,RAM: 16GB,RAM: 16GB DDR4,Disk: SSD 256GB ,VGA:  zdiel.,Opticka mechanika: DVD+ RW, DVD- RW, DVD+ R SL / DVDR SL,OS: Microsoft Windows 10 Pro 64-bit SK  Digitalizačná snímacia jednotka: Virtuos CCD HT-310A umožňujúca spracovanie čiarového kódu Interleave2of5,   Monitor 1:iiyama ProLite T2735MSC-B2  Monitor: 27" (1920x1080 px), dotykový,Zaruka: neuvedene</t>
  </si>
  <si>
    <t>Typ: EPSON DLQ-3500 ,Technologia: maticová bodová/ ihličková,Farba: nie,Formaty: neuvedené,Podávač: Listový papier (jedno- a viacvrstvový),Nekonečný papier (jedno- a viacvrstvový),Štítky (jedno- a viacvrstvové),Papier v kotúčoch,Obálky,Lepenka,Rozhrania: USB 2.0 typu B, ethernet Ethernet (100 Base-TX/10 Base-T),RAM: neuvedené,Zaruka: neuvedené</t>
  </si>
  <si>
    <t>Typ: Lenovo TP L490,Proc.: 2-jadro passmark 5500,RAM: 8GB,Disk: SSD 512GB,VGA: zdiel,Disp: 2880x1800,OS: Win 10 Pro 64-bit SK, Digitalizačná snímacia jednotka: Virtuos CCD HT-310A umožňujúca spracovanie čiarového kódu Interleave2of5, pripojiteľnosť USB,Zaruka: neuvedené</t>
  </si>
  <si>
    <t>Typ: Epson EB-2142W Projektor 3LCD,Rozl.: 1280×800 (16:10),Svietivost: 4200lm,Kontrast: 15000:1, HDMI, MHL, S-Video, DSub, USB, držiak na projektor,Zaruka: neuvedené</t>
  </si>
  <si>
    <t>Typ: TRIUMPH BOARD 65" INTERACTIVE FLAT PANEL,Velkost: 58",Rozl.: 4k,Obslúžny softvér (vytváranie interaktívnych publikácii z PDF súborov, príprava animovaných prezentácií),Diaľkové ovládanie,Zaruka: neuvedene</t>
  </si>
  <si>
    <t>Kúpna zmluva - Rozšírenie infraštruktúry Jednotného informačného systému v cestnej doprave</t>
  </si>
  <si>
    <t>https://www.crz.gov.sk/data/att/2587955.pdf</t>
  </si>
  <si>
    <t>Typ: V4-2Sl 0-900U,Disk: 900GB 10 000 rpm,Rozhranie: 6GB SAS,Zaruka: neuvedené</t>
  </si>
  <si>
    <t>Typ: VNXB6GSDAE25F,Vyska: 2U,Podporované typy diskov: 2,5" disky FLASH a SAS, rozhranie: 6GB SAS, počet diskov 25,Zaruka: neuvedene</t>
  </si>
  <si>
    <t>Prepojovací SAS kábel, 5m, prenos rýchlosť: min. 6 GB,Zaruka: neuvedene</t>
  </si>
  <si>
    <t>Typ:  VNX 600GB 12 1 OK SAS 25X2.5 DPEIDAE UPG,Kapacita: 600GB,Rozhranie: 6GB SAS</t>
  </si>
  <si>
    <t xml:space="preserve">Typ: V4-2Sl 0-900U (VNX 37 900GB JOK SAS 25X2.5 DPE/DAE UPG),Kapacita: 900GB 10 000rpm,Rozhranie: 6GB SAS </t>
  </si>
  <si>
    <t>Typ: VNXB6GSDAE25F,Vyska: 2U,Podporované typy diskov: 2,5" disky FLASH a SAS,Rozhranie: 6GB SAS, počet diskov 25</t>
  </si>
  <si>
    <t>Typ: Prepojovací SAS kábel, 5m,Prenos rýchlosť: 6GB</t>
  </si>
  <si>
    <t>Typ:VNX 600GB 12 1 OK SAS 25X2.5 DPEIDAE UPG,Kapacita: 600GB,Rozhranie: 6GB SAS</t>
  </si>
  <si>
    <t>Typ: HP PageWide Enteprise Color MFP 586dn,Technologia: Atrament,Farba: áno,Formaty: A4,Rozhrania:  10/100/1000T Ethernet, USB 2.0 , podpora 802.1x,RAM: 2GB,HDD: 320GB, Pam. karta: neuvedené,Zasobnik: 2x,Rozl. tlace, scanu, kopírovania: 600 dpi,Hmotnosti médií: 60 až 300 g/m2,Obrazovka LCD: áno 20,3 cm, OS: Win 7,8,10,Zaruka: nevuedené</t>
  </si>
  <si>
    <t>Typ: HP PageWide 777z,Technologia: Atrament,Farba: áno,Formaty: A3,Rozhrania:  10/100/1000T Ethernet, USB 2.0 , podpora 802.1x,RAM: 1,5GB,HDD: 126GB, Pam. karta: neuvedené,Zasobnik: 2x,Rozl.: 600 dpi,  Kvalita skenovania 600 dpi), kopírovania 600 dpi, hmotnosti médií: 60 až 300 g/m2, obrazovka LCD: áno 20,3 cm, SW: Win 7,8,10, Odporúčaná mesačná záťaž 20 000 strán, Maximálna mesačná záťaž 100 000 strán,Zaruka: neuvedene</t>
  </si>
  <si>
    <t>Typ: HP EliteDesk 705 G4 Small Form Factor PC, Proc.: passmark  8600 , RAM: 8GB, Disk: SSD 256GB,VGA:  zdiel, výstupy 2x DP , Optická mechanika: Interná DVD+/-RW, OS: Microsoft Windows 10 Pro 64-bit SK, Monitor 1:iiyama ProLite T2735MSC-B2  Monitor: 27" (1920x1080 px), dotykový,Zaruka: neuvedené</t>
  </si>
  <si>
    <t>Typ: HP EliteDisplax E243, Rozlisenie: 1920 x 1080, Frekvencia: 60Hz,Velkost: 23,8",Technológia: LED,Kontrast: 1000:1,Vstupy: HDMI, VGA, 3x USB,matný, ,Zaruka: 5</t>
  </si>
  <si>
    <t>Typ: HP EliteDisplax E243i, Rozlisenie: 1920 x 1080, Frekvencia: 60Hz,Velkost: 24", Technológia: LED, Kontrast: 1000:1,Vstupy: HDMI, VGA, 3x USB,matný, Zaruka: 5</t>
  </si>
  <si>
    <t>Hodnota v eur bez DPH</t>
  </si>
  <si>
    <t>Počet</t>
  </si>
  <si>
    <t>Počítače</t>
  </si>
  <si>
    <t>Laptopy</t>
  </si>
  <si>
    <t>Sieťové prvky</t>
  </si>
  <si>
    <t>Skupina zariadení</t>
  </si>
  <si>
    <t>Objem nákupu v eur bez DPH</t>
  </si>
  <si>
    <t>Servery bežného typu</t>
  </si>
  <si>
    <t>Diskové polia</t>
  </si>
  <si>
    <t>LAN/SAN prepínače</t>
  </si>
  <si>
    <t>LAN/SAN smerovače a firewally</t>
  </si>
  <si>
    <t>LAN/SAN a modulárne prepínače so smerovačom</t>
  </si>
  <si>
    <t>Videokonferenčné zariadenia</t>
  </si>
  <si>
    <t>Integrované serverové riešenia</t>
  </si>
  <si>
    <t>SW uzly dátových centier (špecializované servery)</t>
  </si>
  <si>
    <t>Zálohovacie jednotky</t>
  </si>
  <si>
    <t>WIFI prístupové body</t>
  </si>
  <si>
    <t>Záložné zdroje</t>
  </si>
  <si>
    <t>IP kamery</t>
  </si>
  <si>
    <t>Racky a skrine do serverovne</t>
  </si>
  <si>
    <t>IP telefóny</t>
  </si>
  <si>
    <t>Sieťové a FibreChannel karty</t>
  </si>
  <si>
    <t>WIFI ovládače mobility</t>
  </si>
  <si>
    <t>LAN káble</t>
  </si>
  <si>
    <t>Patch panely</t>
  </si>
  <si>
    <t>Dátové rozvádzače, bežné rozvádzače</t>
  </si>
  <si>
    <t>Ostatné sieťové prvky (jednotky distribúcie napájania, modemy, WIFI opakovače)</t>
  </si>
  <si>
    <t>Spolu sieťové prvky</t>
  </si>
  <si>
    <t>Ostatný HW</t>
  </si>
  <si>
    <t>Skenery, tlačiarne, plotery a multifunkčné zariadenia</t>
  </si>
  <si>
    <t>Monitory, projektory, interaktívne tabule, TV, zobrazovacie jednotky</t>
  </si>
  <si>
    <t>Tablety (aj podpisové a polohovacie) a mobilné telefóny</t>
  </si>
  <si>
    <t>Pamäte RAM</t>
  </si>
  <si>
    <t>Pevné disky</t>
  </si>
  <si>
    <t>Procesory</t>
  </si>
  <si>
    <t>Grafické karty</t>
  </si>
  <si>
    <t>Zvukové karty</t>
  </si>
  <si>
    <t>Základné dosky</t>
  </si>
  <si>
    <t>PC skrinky</t>
  </si>
  <si>
    <t>PC zdroje a externé zdroje k laptopom</t>
  </si>
  <si>
    <t>Radiče diskov</t>
  </si>
  <si>
    <t>Optické mechaniky</t>
  </si>
  <si>
    <t>Čítačky kódov, dokladov a pamäťových kariet</t>
  </si>
  <si>
    <t>Akumulátory pre záložné zdroje</t>
  </si>
  <si>
    <t>Klávesnice</t>
  </si>
  <si>
    <t>Myši</t>
  </si>
  <si>
    <t>Myši s klávesnicami (kompletné sady)</t>
  </si>
  <si>
    <t>Webové kamery</t>
  </si>
  <si>
    <t>Chladiče</t>
  </si>
  <si>
    <t>Pamäťové karty</t>
  </si>
  <si>
    <t>Reproduktory a slúchadlá</t>
  </si>
  <si>
    <t>USB kľúče</t>
  </si>
  <si>
    <t>USB huby a prepínače</t>
  </si>
  <si>
    <t>Ostatné (powerbanky, rozširujúce karty USB, skartovačky)</t>
  </si>
  <si>
    <t>Ostatné veci, čo nestojí za to grupovať</t>
  </si>
  <si>
    <t>Spolu</t>
  </si>
  <si>
    <t>P25, median, p75</t>
  </si>
  <si>
    <t>Vysvetlivky k poliam kontingenčnej tabuľky:</t>
  </si>
  <si>
    <t>Zariadenie</t>
  </si>
  <si>
    <t>Viditeľné polia:</t>
  </si>
  <si>
    <t>Nevybraté polia:</t>
  </si>
  <si>
    <r>
      <t xml:space="preserve">Ide o prvý stĺpec, v ktorom sú položky agregujúce rovnaký typ vybavenia (napr. všetky PC, veštky laptopy, všetky myši a pod.),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 xml:space="preserve"> ide o stĺpec F.</t>
    </r>
  </si>
  <si>
    <r>
      <t xml:space="preserve">Ide o predposledný stĺpec s označením "Počet kusov".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I.Tu sa agregujú všetky počty kusov rovnakého druhu vybavenia  vyplývajúce zo zmlúv</t>
    </r>
  </si>
  <si>
    <r>
      <t xml:space="preserve">Ide o celkovú sumu za všetky položky a za všetky kusy, v tabuľke s označením "Celková suma [€ bez DPH]". V harku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J.</t>
    </r>
  </si>
  <si>
    <r>
      <t xml:space="preserve">Ide o stĺpec označený "p25".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 xml:space="preserve">stĺpec K. Výpočet dolného kvartilu sa vykoná ešte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, keďže kontingenčná tabuľka takú funkciu nemá.</t>
    </r>
  </si>
  <si>
    <r>
      <t xml:space="preserve">Zdroj údajov pre výpočet je nevybraté pole "Jednotková cena - EUR bez DPH" (v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stĺpec H).</t>
    </r>
  </si>
  <si>
    <r>
      <t xml:space="preserve">Ide o stĺpec označený "medián".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 xml:space="preserve">stĺpec L. Výpočet mediánu sa vykoná ešte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, keďže kontingenčná tabuľka takú funkciu nemá.</t>
    </r>
  </si>
  <si>
    <r>
      <t xml:space="preserve">Ide o stĺpec označený "p75".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 xml:space="preserve">stĺpec M. Výpočet horného kvartilu sa vykoná ešte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, keďže kontingenčná tabuľka takú funkciu nemá.</t>
    </r>
  </si>
  <si>
    <r>
      <t xml:space="preserve">Názov zmluvy extrahovaný z CRZ.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B.</t>
    </r>
  </si>
  <si>
    <r>
      <t xml:space="preserve">Identifikačné číslo zmluvy v CRZ (pre každú zmluvu, či dodatok jedinečné).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C.</t>
    </r>
  </si>
  <si>
    <r>
      <t xml:space="preserve">Odkaz na podstránku s predmetnou zmluvou na CRZ vo formáte https://www.crz.gov.sk/zmluva/&lt;ID&gt;.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D.</t>
    </r>
  </si>
  <si>
    <t>Odkazy na samotné prílohy, t.j. dokumenty zmluvy na CRZ vo formáte https://www.crz.gov.sk/data/att/&lt;Cislo_DokumentPoradie&gt;.pdf.</t>
  </si>
  <si>
    <r>
      <t xml:space="preserve">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E. Ak je odkazov (príloh) vicero, odkazy sú oddelené bodkočiarkami.</t>
    </r>
  </si>
  <si>
    <r>
      <t xml:space="preserve">Podrobný popis konkrétneho zariadenia v preddefinovanej syntaxi kvôli strojovej extrakcii parametrov.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je to stĺpec G.</t>
    </r>
  </si>
  <si>
    <r>
      <t xml:space="preserve">Cena jedného zariadenia určeného jedným riadkom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(stĺpec H). Slúži pre výpočet štatistických parametrov.</t>
    </r>
  </si>
  <si>
    <r>
      <t xml:space="preserve">Zo stĺpca "Skupina_HW" v hárku </t>
    </r>
    <r>
      <rPr>
        <i/>
        <sz val="11"/>
        <color theme="1"/>
        <rFont val="Arial Narrow"/>
        <family val="2"/>
        <charset val="238"/>
      </rPr>
      <t>data</t>
    </r>
    <r>
      <rPr>
        <sz val="11"/>
        <color theme="1"/>
        <rFont val="Arial Narrow"/>
        <family val="2"/>
        <charset val="238"/>
      </rPr>
      <t>vytvorený celkový počet pozorovaní rovnakého typu zariadení (funkcia "počet" zabudovaná v možnostiach kontingenčnej tabuľky).</t>
    </r>
  </si>
  <si>
    <t>Poradové číslo.</t>
  </si>
  <si>
    <t>Ďalšie nastavenia kontingenčnej tabuľky:</t>
  </si>
  <si>
    <t>Filter</t>
  </si>
  <si>
    <t>Odfiltrované sú položky, pri ktorých je počet pozorovaní nižší ako 10. Časom môžu do tabuľky pribúdať iné položky, ak počet pozorovaní prekročí hraničnú hodnotu.</t>
  </si>
  <si>
    <t>Zoradenie</t>
  </si>
  <si>
    <t>Zariadenia sú zoradené podľa mediánu.</t>
  </si>
  <si>
    <t>Vysvetlivky k poliam kontingenčnej tabuľky sú uvedené v hárku</t>
  </si>
  <si>
    <t>pivot-vysvetlivky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</si>
</sst>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i/>
      <sz val="11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01">
    <xf numFmtId="0" fontId="0" fillId="0" borderId="0" xfId="0"/>
    <xf numFmtId="0" fontId="1" fillId="0" borderId="1" xfId="0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3" fontId="2" fillId="0" borderId="0" xfId="0" applyNumberFormat="1" applyFont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4" fontId="2" fillId="2" borderId="0" xfId="0" applyNumberFormat="1" applyFont="1" applyFill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vertical="center"/>
    </xf>
    <xf numFmtId="49" fontId="4" fillId="3" borderId="0" xfId="0" applyNumberFormat="1" applyFont="1" applyFill="1" applyAlignment="1">
      <alignment horizontal="left" vertical="center"/>
    </xf>
    <xf numFmtId="3" fontId="1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4" fontId="1" fillId="3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4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3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4" fontId="2" fillId="0" borderId="0" xfId="0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4" borderId="0" xfId="0" applyFont="1" applyFill="1" applyBorder="1" applyAlignment="1">
      <alignment horizontal="center" vertical="top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vertical="center"/>
    </xf>
    <xf numFmtId="0" fontId="2" fillId="0" borderId="2" xfId="0" applyFont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3" fontId="1" fillId="5" borderId="2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3" fontId="2" fillId="5" borderId="0" xfId="0" applyNumberFormat="1" applyFont="1" applyFill="1" applyAlignment="1">
      <alignment vertical="center"/>
    </xf>
    <xf numFmtId="3" fontId="2" fillId="5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3" fontId="2" fillId="5" borderId="0" xfId="0" applyNumberFormat="1" applyFont="1" applyFill="1" applyAlignment="1">
      <alignment vertical="center" wrapText="1"/>
    </xf>
    <xf numFmtId="0" fontId="3" fillId="0" borderId="0" xfId="0" applyFont="1" applyAlignment="1">
      <alignment vertical="center"/>
    </xf>
    <xf numFmtId="0" fontId="2" fillId="5" borderId="0" xfId="0" applyFont="1" applyFill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vertical="center"/>
    </xf>
    <xf numFmtId="3" fontId="2" fillId="5" borderId="0" xfId="0" applyNumberFormat="1" applyFont="1" applyFill="1" applyBorder="1" applyAlignment="1">
      <alignment horizontal="center" vertical="center"/>
    </xf>
    <xf numFmtId="3" fontId="2" fillId="5" borderId="0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top"/>
    </xf>
    <xf numFmtId="3" fontId="2" fillId="0" borderId="3" xfId="0" applyNumberFormat="1" applyFont="1" applyBorder="1" applyAlignment="1">
      <alignment horizontal="left"/>
    </xf>
    <xf numFmtId="3" fontId="2" fillId="0" borderId="3" xfId="0" applyNumberFormat="1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>
      <alignment horizontal="center" vertical="center"/>
    </xf>
    <xf numFmtId="3" fontId="2" fillId="5" borderId="8" xfId="0" applyNumberFormat="1" applyFont="1" applyFill="1" applyBorder="1" applyAlignment="1">
      <alignment horizontal="center" vertical="center"/>
    </xf>
    <xf numFmtId="3" fontId="2" fillId="5" borderId="9" xfId="0" applyNumberFormat="1" applyFont="1" applyFill="1" applyBorder="1" applyAlignment="1">
      <alignment horizontal="center" vertical="center"/>
    </xf>
    <xf numFmtId="3" fontId="2" fillId="5" borderId="7" xfId="0" applyNumberFormat="1" applyFont="1" applyFill="1" applyBorder="1" applyAlignment="1">
      <alignment horizontal="left"/>
    </xf>
    <xf numFmtId="3" fontId="2" fillId="5" borderId="10" xfId="0" applyNumberFormat="1" applyFont="1" applyFill="1" applyBorder="1" applyAlignment="1">
      <alignment horizontal="left"/>
    </xf>
    <xf numFmtId="3" fontId="2" fillId="5" borderId="11" xfId="0" applyNumberFormat="1" applyFont="1" applyFill="1" applyBorder="1" applyAlignment="1">
      <alignment horizontal="center" vertical="center"/>
    </xf>
    <xf numFmtId="3" fontId="2" fillId="5" borderId="12" xfId="0" applyNumberFormat="1" applyFont="1" applyFill="1" applyBorder="1" applyAlignment="1">
      <alignment horizontal="left"/>
    </xf>
    <xf numFmtId="3" fontId="2" fillId="5" borderId="12" xfId="0" applyNumberFormat="1" applyFont="1" applyFill="1" applyBorder="1" applyAlignment="1">
      <alignment horizontal="center" vertical="center"/>
    </xf>
    <xf numFmtId="3" fontId="2" fillId="5" borderId="7" xfId="0" applyNumberFormat="1" applyFont="1" applyFill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3" fontId="2" fillId="0" borderId="0" xfId="0" applyNumberFormat="1" applyFont="1" applyBorder="1"/>
    <xf numFmtId="3" fontId="2" fillId="6" borderId="10" xfId="0" applyNumberFormat="1" applyFont="1" applyFill="1" applyBorder="1" applyAlignment="1">
      <alignment horizontal="left"/>
    </xf>
    <xf numFmtId="3" fontId="2" fillId="6" borderId="9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center" vertical="center"/>
    </xf>
    <xf numFmtId="3" fontId="2" fillId="6" borderId="10" xfId="0" applyNumberFormat="1" applyFont="1" applyFill="1" applyBorder="1" applyAlignment="1">
      <alignment horizontal="center" vertical="center"/>
    </xf>
    <xf numFmtId="3" fontId="1" fillId="0" borderId="0" xfId="0" applyNumberFormat="1" applyFont="1"/>
    <xf numFmtId="3" fontId="2" fillId="5" borderId="13" xfId="0" applyNumberFormat="1" applyFont="1" applyFill="1" applyBorder="1"/>
    <xf numFmtId="3" fontId="2" fillId="5" borderId="14" xfId="0" applyNumberFormat="1" applyFont="1" applyFill="1" applyBorder="1" applyAlignment="1">
      <alignment horizontal="center" vertical="center"/>
    </xf>
    <xf numFmtId="3" fontId="2" fillId="5" borderId="15" xfId="0" applyNumberFormat="1" applyFont="1" applyFill="1" applyBorder="1" applyAlignment="1">
      <alignment horizontal="center" vertical="center"/>
    </xf>
    <xf numFmtId="3" fontId="2" fillId="5" borderId="16" xfId="0" applyNumberFormat="1" applyFont="1" applyFill="1" applyBorder="1" applyAlignment="1">
      <alignment horizontal="center" vertical="center"/>
    </xf>
    <xf numFmtId="3" fontId="10" fillId="0" borderId="0" xfId="1" applyNumberFormat="1" applyFont="1"/>
  </cellXfs>
  <cellStyles count="2">
    <cellStyle name="Hypertextové prepojenie" xfId="1" builtinId="8"/>
    <cellStyle name="Normálna" xfId="0" builtinId="0"/>
  </cellStyles>
  <dxfs count="243"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border>
        <right/>
        <top/>
        <bottom/>
        <vertical/>
        <horizontal/>
      </border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obota\Majo\MIRRI\Hodnotenie%20HW\20221222\hw_data_201220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RC"/>
      <sheetName val="DB"/>
      <sheetName val="Check_suma"/>
      <sheetName val="Check_mnozstvo"/>
      <sheetName val="Check_pozorovania"/>
      <sheetName val="Celk_cisla"/>
      <sheetName val="Pivot"/>
      <sheetName val="Pivot2"/>
      <sheetName val="Kat_spolu"/>
      <sheetName val="Kat_spolu_2019"/>
      <sheetName val="Kat_spolu_2020"/>
      <sheetName val="Kat_spolu_2021"/>
      <sheetName val="Kat_spolu_2022"/>
      <sheetName val="Kat_spolu_roky"/>
      <sheetName val="Kat_spolu_roky_raw"/>
      <sheetName val="PC_notebooky"/>
    </sheetNames>
    <sheetDataSet>
      <sheetData sheetId="0" refreshError="1"/>
      <sheetData sheetId="1">
        <row r="2">
          <cell r="C2" t="str">
            <v>ID</v>
          </cell>
          <cell r="X2" t="str">
            <v>Skupina_HW</v>
          </cell>
          <cell r="AB2" t="str">
            <v>Cena spolu - € bez DPH</v>
          </cell>
        </row>
        <row r="3">
          <cell r="X3" t="str">
            <v>Počítač</v>
          </cell>
          <cell r="AB3">
            <v>86100</v>
          </cell>
        </row>
        <row r="4">
          <cell r="X4" t="str">
            <v>Počítač</v>
          </cell>
          <cell r="AB4">
            <v>81100</v>
          </cell>
        </row>
        <row r="5">
          <cell r="X5" t="str">
            <v>Notebook</v>
          </cell>
          <cell r="AB5">
            <v>50400</v>
          </cell>
        </row>
        <row r="6">
          <cell r="X6" t="str">
            <v>Notebook</v>
          </cell>
          <cell r="AB6">
            <v>45550</v>
          </cell>
        </row>
        <row r="7">
          <cell r="X7" t="str">
            <v>Notebook</v>
          </cell>
          <cell r="AB7">
            <v>46530</v>
          </cell>
        </row>
        <row r="8">
          <cell r="X8" t="str">
            <v>Monitor</v>
          </cell>
          <cell r="AB8">
            <v>21450</v>
          </cell>
        </row>
        <row r="9">
          <cell r="X9" t="str">
            <v>Monitor</v>
          </cell>
          <cell r="AB9">
            <v>26400</v>
          </cell>
        </row>
        <row r="10">
          <cell r="X10" t="str">
            <v>Tlačiareň</v>
          </cell>
          <cell r="AB10">
            <v>5725</v>
          </cell>
        </row>
        <row r="11">
          <cell r="X11" t="str">
            <v>Tlačiareň</v>
          </cell>
          <cell r="AB11">
            <v>12300</v>
          </cell>
        </row>
        <row r="12">
          <cell r="X12" t="str">
            <v>Tlačiareň</v>
          </cell>
          <cell r="AB12">
            <v>2865</v>
          </cell>
        </row>
        <row r="13">
          <cell r="X13" t="str">
            <v>Multifunkčné zariadenie</v>
          </cell>
          <cell r="AB13">
            <v>18700</v>
          </cell>
        </row>
        <row r="14">
          <cell r="X14" t="str">
            <v>Multifunkčné zariadenie</v>
          </cell>
          <cell r="AB14">
            <v>31000</v>
          </cell>
        </row>
        <row r="15">
          <cell r="X15" t="str">
            <v>Multifunkčné zariadenie</v>
          </cell>
          <cell r="AB15">
            <v>75200</v>
          </cell>
        </row>
        <row r="16">
          <cell r="X16" t="str">
            <v>Príslušenstvo</v>
          </cell>
          <cell r="AB16">
            <v>26920</v>
          </cell>
        </row>
        <row r="17">
          <cell r="X17" t="str">
            <v>Skener</v>
          </cell>
          <cell r="AB17">
            <v>6625</v>
          </cell>
        </row>
        <row r="18">
          <cell r="X18" t="str">
            <v>Skener</v>
          </cell>
          <cell r="AB18">
            <v>20200</v>
          </cell>
        </row>
        <row r="19">
          <cell r="X19" t="str">
            <v>Skener</v>
          </cell>
          <cell r="AB19">
            <v>16475</v>
          </cell>
        </row>
        <row r="20">
          <cell r="X20" t="str">
            <v>Skener</v>
          </cell>
          <cell r="AB20">
            <v>14688</v>
          </cell>
        </row>
        <row r="21">
          <cell r="X21" t="str">
            <v>Projektor</v>
          </cell>
          <cell r="AB21">
            <v>90200</v>
          </cell>
        </row>
        <row r="22">
          <cell r="X22" t="str">
            <v>Projektor</v>
          </cell>
          <cell r="AB22">
            <v>19475</v>
          </cell>
        </row>
        <row r="23">
          <cell r="X23" t="str">
            <v>Server</v>
          </cell>
          <cell r="AB23">
            <v>28480</v>
          </cell>
        </row>
        <row r="24">
          <cell r="X24" t="str">
            <v>Server</v>
          </cell>
          <cell r="AB24">
            <v>34760</v>
          </cell>
        </row>
        <row r="25">
          <cell r="X25" t="str">
            <v>Server</v>
          </cell>
          <cell r="AB25">
            <v>13570</v>
          </cell>
        </row>
        <row r="26">
          <cell r="X26" t="str">
            <v>Server</v>
          </cell>
          <cell r="AB26">
            <v>62900</v>
          </cell>
        </row>
        <row r="27">
          <cell r="X27" t="str">
            <v>Príslušenstvo</v>
          </cell>
          <cell r="AB27">
            <v>38190</v>
          </cell>
        </row>
        <row r="28">
          <cell r="X28" t="str">
            <v>Server</v>
          </cell>
          <cell r="AB28">
            <v>2071040</v>
          </cell>
        </row>
        <row r="29">
          <cell r="X29" t="str">
            <v>Diskové pole</v>
          </cell>
          <cell r="AB29">
            <v>11850</v>
          </cell>
        </row>
        <row r="30">
          <cell r="X30" t="str">
            <v>Diskové pole</v>
          </cell>
          <cell r="AB30">
            <v>19360</v>
          </cell>
        </row>
        <row r="31">
          <cell r="X31" t="str">
            <v>Rack</v>
          </cell>
          <cell r="AB31">
            <v>1122.33</v>
          </cell>
        </row>
        <row r="32">
          <cell r="X32" t="str">
            <v>Záložný zdroj</v>
          </cell>
          <cell r="AB32">
            <v>8632</v>
          </cell>
        </row>
        <row r="33">
          <cell r="X33" t="str">
            <v>Záložný zdroj</v>
          </cell>
          <cell r="AB33">
            <v>11490</v>
          </cell>
        </row>
        <row r="34">
          <cell r="X34" t="str">
            <v>Notebook</v>
          </cell>
          <cell r="AB34">
            <v>23514</v>
          </cell>
        </row>
        <row r="35">
          <cell r="X35" t="str">
            <v>Notebook</v>
          </cell>
          <cell r="AB35">
            <v>19194</v>
          </cell>
        </row>
        <row r="36">
          <cell r="X36" t="str">
            <v>Notebook</v>
          </cell>
          <cell r="AB36">
            <v>21015</v>
          </cell>
        </row>
        <row r="37">
          <cell r="X37" t="str">
            <v>Notebook</v>
          </cell>
          <cell r="AB37">
            <v>14457.6</v>
          </cell>
        </row>
        <row r="38">
          <cell r="X38" t="str">
            <v>Notebook</v>
          </cell>
          <cell r="AB38">
            <v>12909</v>
          </cell>
        </row>
        <row r="39">
          <cell r="X39" t="str">
            <v>Notebook</v>
          </cell>
          <cell r="AB39">
            <v>16820</v>
          </cell>
        </row>
        <row r="40">
          <cell r="X40" t="str">
            <v>Notebook</v>
          </cell>
          <cell r="AB40">
            <v>7526</v>
          </cell>
        </row>
        <row r="41">
          <cell r="X41" t="str">
            <v>Notebook</v>
          </cell>
          <cell r="AB41">
            <v>8481</v>
          </cell>
        </row>
        <row r="42">
          <cell r="X42" t="str">
            <v>Notebook</v>
          </cell>
          <cell r="AB42">
            <v>4313.3999999999996</v>
          </cell>
        </row>
        <row r="43">
          <cell r="X43" t="str">
            <v>Notebook</v>
          </cell>
          <cell r="AB43">
            <v>5556.6</v>
          </cell>
        </row>
        <row r="44">
          <cell r="X44" t="str">
            <v>Notebook</v>
          </cell>
          <cell r="AB44">
            <v>7502.4000000000005</v>
          </cell>
        </row>
        <row r="45">
          <cell r="X45" t="str">
            <v>Tablet</v>
          </cell>
          <cell r="AB45">
            <v>3193</v>
          </cell>
        </row>
        <row r="46">
          <cell r="X46" t="str">
            <v>Tablet</v>
          </cell>
          <cell r="AB46">
            <v>2786.5</v>
          </cell>
        </row>
        <row r="47">
          <cell r="X47" t="str">
            <v>Tablet</v>
          </cell>
          <cell r="AB47">
            <v>2696.5</v>
          </cell>
        </row>
        <row r="48">
          <cell r="X48" t="str">
            <v>Tablet</v>
          </cell>
          <cell r="AB48">
            <v>4067.5</v>
          </cell>
        </row>
        <row r="49">
          <cell r="X49" t="str">
            <v>Počítač</v>
          </cell>
          <cell r="AB49">
            <v>18660</v>
          </cell>
        </row>
        <row r="50">
          <cell r="X50" t="str">
            <v>Počítač</v>
          </cell>
          <cell r="AB50">
            <v>30930</v>
          </cell>
        </row>
        <row r="51">
          <cell r="X51" t="str">
            <v>Počítač</v>
          </cell>
          <cell r="AB51">
            <v>22098</v>
          </cell>
        </row>
        <row r="52">
          <cell r="X52" t="str">
            <v>Počítač</v>
          </cell>
          <cell r="AB52">
            <v>18976</v>
          </cell>
        </row>
        <row r="53">
          <cell r="X53" t="str">
            <v>Počítač</v>
          </cell>
          <cell r="AB53">
            <v>21448</v>
          </cell>
        </row>
        <row r="54">
          <cell r="X54" t="str">
            <v>Počítač</v>
          </cell>
          <cell r="AB54">
            <v>23020</v>
          </cell>
        </row>
        <row r="55">
          <cell r="X55" t="str">
            <v>Počítač</v>
          </cell>
          <cell r="AB55">
            <v>12822</v>
          </cell>
        </row>
        <row r="56">
          <cell r="X56" t="str">
            <v>Počítač</v>
          </cell>
          <cell r="AB56">
            <v>7422</v>
          </cell>
        </row>
        <row r="57">
          <cell r="X57" t="str">
            <v>Počítač</v>
          </cell>
          <cell r="AB57">
            <v>11847</v>
          </cell>
        </row>
        <row r="58">
          <cell r="X58" t="str">
            <v>Počítač</v>
          </cell>
          <cell r="AB58">
            <v>14094</v>
          </cell>
        </row>
        <row r="59">
          <cell r="X59" t="str">
            <v>Počítač</v>
          </cell>
          <cell r="AB59">
            <v>6097.2000000000007</v>
          </cell>
        </row>
        <row r="60">
          <cell r="X60" t="str">
            <v>Počítač</v>
          </cell>
          <cell r="AB60">
            <v>6402</v>
          </cell>
        </row>
        <row r="61">
          <cell r="X61" t="str">
            <v>Počítač</v>
          </cell>
          <cell r="AB61">
            <v>6722.7000000000007</v>
          </cell>
        </row>
        <row r="62">
          <cell r="X62" t="str">
            <v>Monitor</v>
          </cell>
          <cell r="AB62">
            <v>3415</v>
          </cell>
        </row>
        <row r="63">
          <cell r="X63" t="str">
            <v>Monitor</v>
          </cell>
          <cell r="AB63">
            <v>9300</v>
          </cell>
        </row>
        <row r="64">
          <cell r="X64" t="str">
            <v>Monitor</v>
          </cell>
          <cell r="AB64">
            <v>6255</v>
          </cell>
        </row>
        <row r="65">
          <cell r="X65" t="str">
            <v>Monitor</v>
          </cell>
          <cell r="AB65">
            <v>5271</v>
          </cell>
        </row>
        <row r="66">
          <cell r="X66" t="str">
            <v>Monitor</v>
          </cell>
          <cell r="AB66">
            <v>2997</v>
          </cell>
        </row>
        <row r="67">
          <cell r="X67" t="str">
            <v>Monitor</v>
          </cell>
          <cell r="AB67">
            <v>4709</v>
          </cell>
        </row>
        <row r="68">
          <cell r="X68" t="str">
            <v>Tlačiareň</v>
          </cell>
          <cell r="AB68">
            <v>944</v>
          </cell>
        </row>
        <row r="69">
          <cell r="X69" t="str">
            <v>Tlačiareň</v>
          </cell>
          <cell r="AB69">
            <v>2338</v>
          </cell>
        </row>
        <row r="70">
          <cell r="X70" t="str">
            <v>Tlačiareň</v>
          </cell>
          <cell r="AB70">
            <v>1598</v>
          </cell>
        </row>
        <row r="71">
          <cell r="X71" t="str">
            <v>Tlačiareň</v>
          </cell>
          <cell r="AB71">
            <v>1269.8</v>
          </cell>
        </row>
        <row r="72">
          <cell r="X72" t="str">
            <v>Tlačiareň</v>
          </cell>
          <cell r="AB72">
            <v>4242</v>
          </cell>
        </row>
        <row r="73">
          <cell r="X73" t="str">
            <v>Tlačiareň</v>
          </cell>
          <cell r="AB73">
            <v>3303.6000000000004</v>
          </cell>
        </row>
        <row r="74">
          <cell r="X74" t="str">
            <v>Multifunkčné zariadenie</v>
          </cell>
          <cell r="AB74">
            <v>4394</v>
          </cell>
        </row>
        <row r="75">
          <cell r="X75" t="str">
            <v>Multifunkčné zariadenie</v>
          </cell>
          <cell r="AB75">
            <v>611</v>
          </cell>
        </row>
        <row r="76">
          <cell r="X76" t="str">
            <v>Multifunkčné zariadenie</v>
          </cell>
          <cell r="AB76">
            <v>1199</v>
          </cell>
        </row>
        <row r="77">
          <cell r="X77" t="str">
            <v>Multifunkčné zariadenie</v>
          </cell>
          <cell r="AB77">
            <v>2073.3000000000002</v>
          </cell>
        </row>
        <row r="78">
          <cell r="X78" t="str">
            <v>Multifunkčné zariadenie</v>
          </cell>
          <cell r="AB78">
            <v>2879.3999999999996</v>
          </cell>
        </row>
        <row r="79">
          <cell r="X79" t="str">
            <v>Multifunkčné zariadenie</v>
          </cell>
          <cell r="AB79">
            <v>2786</v>
          </cell>
        </row>
        <row r="80">
          <cell r="X80" t="str">
            <v>Multifunkčné zariadenie</v>
          </cell>
          <cell r="AB80">
            <v>4831.6000000000004</v>
          </cell>
        </row>
        <row r="81">
          <cell r="X81" t="str">
            <v>Skener</v>
          </cell>
          <cell r="AB81">
            <v>431</v>
          </cell>
        </row>
        <row r="82">
          <cell r="X82" t="str">
            <v>Skener</v>
          </cell>
          <cell r="AB82">
            <v>819.5</v>
          </cell>
        </row>
        <row r="83">
          <cell r="X83" t="str">
            <v>Ploter</v>
          </cell>
          <cell r="AB83">
            <v>2494.4</v>
          </cell>
        </row>
        <row r="84">
          <cell r="X84" t="str">
            <v>Ploter</v>
          </cell>
          <cell r="AB84">
            <v>1866.7</v>
          </cell>
        </row>
        <row r="85">
          <cell r="X85" t="str">
            <v>Projektor</v>
          </cell>
          <cell r="AB85">
            <v>7136</v>
          </cell>
        </row>
        <row r="86">
          <cell r="X86" t="str">
            <v>Projektor</v>
          </cell>
          <cell r="AB86">
            <v>1735.2</v>
          </cell>
        </row>
        <row r="87">
          <cell r="X87" t="str">
            <v>Projektor</v>
          </cell>
          <cell r="AB87">
            <v>6436</v>
          </cell>
        </row>
        <row r="88">
          <cell r="X88" t="str">
            <v>Projektor</v>
          </cell>
          <cell r="AB88">
            <v>3670.8</v>
          </cell>
        </row>
        <row r="89">
          <cell r="X89" t="str">
            <v>Projektor</v>
          </cell>
          <cell r="AB89">
            <v>22545.4</v>
          </cell>
        </row>
        <row r="90">
          <cell r="X90" t="str">
            <v>Projektor</v>
          </cell>
          <cell r="AB90">
            <v>33708.5</v>
          </cell>
        </row>
        <row r="91">
          <cell r="X91" t="str">
            <v>Pevný disk</v>
          </cell>
          <cell r="AB91">
            <v>1056</v>
          </cell>
        </row>
        <row r="92">
          <cell r="X92" t="str">
            <v>Pevný disk</v>
          </cell>
          <cell r="AB92">
            <v>1460</v>
          </cell>
        </row>
        <row r="93">
          <cell r="X93" t="str">
            <v>Pevný disk</v>
          </cell>
          <cell r="AB93">
            <v>2142</v>
          </cell>
        </row>
        <row r="94">
          <cell r="X94" t="str">
            <v>Pevný disk</v>
          </cell>
          <cell r="AB94">
            <v>554</v>
          </cell>
        </row>
        <row r="95">
          <cell r="X95" t="str">
            <v>Pevný disk</v>
          </cell>
          <cell r="AB95">
            <v>791</v>
          </cell>
        </row>
        <row r="96">
          <cell r="X96" t="str">
            <v>Pevný disk</v>
          </cell>
          <cell r="AB96">
            <v>601</v>
          </cell>
        </row>
        <row r="97">
          <cell r="X97" t="str">
            <v>Príslušenstvo</v>
          </cell>
          <cell r="AB97">
            <v>24.6</v>
          </cell>
        </row>
        <row r="98">
          <cell r="X98" t="str">
            <v>Príslušenstvo</v>
          </cell>
          <cell r="AB98">
            <v>22.4</v>
          </cell>
        </row>
        <row r="99">
          <cell r="X99" t="str">
            <v>PC zdroj</v>
          </cell>
          <cell r="AB99">
            <v>646</v>
          </cell>
        </row>
        <row r="100">
          <cell r="X100" t="str">
            <v>PC zdroj</v>
          </cell>
          <cell r="AB100">
            <v>547</v>
          </cell>
        </row>
        <row r="101">
          <cell r="X101" t="str">
            <v>PC zdroj</v>
          </cell>
          <cell r="AB101">
            <v>479</v>
          </cell>
        </row>
        <row r="102">
          <cell r="X102" t="str">
            <v>Pevný disk</v>
          </cell>
          <cell r="AB102">
            <v>218</v>
          </cell>
        </row>
        <row r="103">
          <cell r="X103" t="str">
            <v>Pevný disk</v>
          </cell>
          <cell r="AB103">
            <v>301</v>
          </cell>
        </row>
        <row r="104">
          <cell r="X104" t="str">
            <v>Pevný disk</v>
          </cell>
          <cell r="AB104">
            <v>439</v>
          </cell>
        </row>
        <row r="105">
          <cell r="X105" t="str">
            <v>Pevný disk</v>
          </cell>
          <cell r="AB105">
            <v>506.5</v>
          </cell>
        </row>
        <row r="106">
          <cell r="X106" t="str">
            <v>Pevný disk</v>
          </cell>
          <cell r="AB106">
            <v>1110</v>
          </cell>
        </row>
        <row r="107">
          <cell r="X107" t="str">
            <v>Pevný disk</v>
          </cell>
          <cell r="AB107">
            <v>973</v>
          </cell>
        </row>
        <row r="108">
          <cell r="X108" t="str">
            <v>Pevný disk</v>
          </cell>
          <cell r="AB108">
            <v>719</v>
          </cell>
        </row>
        <row r="109">
          <cell r="X109" t="str">
            <v>Pevný disk</v>
          </cell>
          <cell r="AB109">
            <v>289.5</v>
          </cell>
        </row>
        <row r="110">
          <cell r="X110" t="str">
            <v>Pevný disk</v>
          </cell>
          <cell r="AB110">
            <v>497.5</v>
          </cell>
        </row>
        <row r="111">
          <cell r="X111" t="str">
            <v>Pevný disk</v>
          </cell>
          <cell r="AB111">
            <v>502</v>
          </cell>
        </row>
        <row r="112">
          <cell r="X112" t="str">
            <v>RAM</v>
          </cell>
          <cell r="AB112">
            <v>494</v>
          </cell>
        </row>
        <row r="113">
          <cell r="X113" t="str">
            <v>RAM</v>
          </cell>
          <cell r="AB113">
            <v>328</v>
          </cell>
        </row>
        <row r="114">
          <cell r="X114" t="str">
            <v>RAM</v>
          </cell>
          <cell r="AB114">
            <v>169</v>
          </cell>
        </row>
        <row r="115">
          <cell r="X115" t="str">
            <v>RAM</v>
          </cell>
          <cell r="AB115">
            <v>85.5</v>
          </cell>
        </row>
        <row r="116">
          <cell r="X116" t="str">
            <v>RAM</v>
          </cell>
          <cell r="AB116">
            <v>157.5</v>
          </cell>
        </row>
        <row r="117">
          <cell r="X117" t="str">
            <v>RAM</v>
          </cell>
          <cell r="AB117">
            <v>301.5</v>
          </cell>
        </row>
        <row r="118">
          <cell r="X118" t="str">
            <v>RAM</v>
          </cell>
          <cell r="AB118">
            <v>239</v>
          </cell>
        </row>
        <row r="119">
          <cell r="X119" t="str">
            <v>RAM</v>
          </cell>
          <cell r="AB119">
            <v>82</v>
          </cell>
        </row>
        <row r="120">
          <cell r="X120" t="str">
            <v>RAM</v>
          </cell>
          <cell r="AB120">
            <v>169</v>
          </cell>
        </row>
        <row r="121">
          <cell r="X121" t="str">
            <v>RAM</v>
          </cell>
          <cell r="AB121">
            <v>85.5</v>
          </cell>
        </row>
        <row r="122">
          <cell r="X122" t="str">
            <v>RAM</v>
          </cell>
          <cell r="AB122">
            <v>157.5</v>
          </cell>
        </row>
        <row r="123">
          <cell r="X123" t="str">
            <v>RAM</v>
          </cell>
          <cell r="AB123">
            <v>311.5</v>
          </cell>
        </row>
        <row r="124">
          <cell r="X124" t="str">
            <v>Grafická karta</v>
          </cell>
          <cell r="AB124">
            <v>232</v>
          </cell>
        </row>
        <row r="125">
          <cell r="X125" t="str">
            <v>Grafická karta</v>
          </cell>
          <cell r="AB125">
            <v>441</v>
          </cell>
        </row>
        <row r="126">
          <cell r="X126" t="str">
            <v>Grafická karta</v>
          </cell>
          <cell r="AB126">
            <v>3494.5</v>
          </cell>
        </row>
        <row r="127">
          <cell r="X127" t="str">
            <v>Diskové pole</v>
          </cell>
          <cell r="AB127">
            <v>2305.6</v>
          </cell>
        </row>
        <row r="128">
          <cell r="X128" t="str">
            <v>Diskové pole</v>
          </cell>
          <cell r="AB128">
            <v>2356.1999999999998</v>
          </cell>
        </row>
        <row r="129">
          <cell r="X129" t="str">
            <v>Diskové pole</v>
          </cell>
          <cell r="AB129">
            <v>6298.5</v>
          </cell>
        </row>
        <row r="130">
          <cell r="X130" t="str">
            <v>Diskové pole</v>
          </cell>
          <cell r="AB130">
            <v>34185.599999999999</v>
          </cell>
        </row>
        <row r="131">
          <cell r="X131" t="str">
            <v>Server</v>
          </cell>
          <cell r="AB131">
            <v>3695.6</v>
          </cell>
        </row>
        <row r="132">
          <cell r="X132" t="str">
            <v>Server</v>
          </cell>
          <cell r="AB132">
            <v>16978.5</v>
          </cell>
        </row>
        <row r="133">
          <cell r="X133" t="str">
            <v>Server</v>
          </cell>
          <cell r="AB133">
            <v>7663</v>
          </cell>
        </row>
        <row r="134">
          <cell r="X134" t="str">
            <v>Server</v>
          </cell>
          <cell r="AB134">
            <v>29950.799999999999</v>
          </cell>
        </row>
        <row r="135">
          <cell r="X135" t="str">
            <v>LAN Prepínač</v>
          </cell>
          <cell r="AB135">
            <v>22639</v>
          </cell>
        </row>
        <row r="136">
          <cell r="X136" t="str">
            <v>LAN Prepínač</v>
          </cell>
          <cell r="AB136">
            <v>24069</v>
          </cell>
        </row>
        <row r="137">
          <cell r="X137" t="str">
            <v>LAN Prepínač</v>
          </cell>
          <cell r="AB137">
            <v>11893.2</v>
          </cell>
        </row>
        <row r="138">
          <cell r="X138" t="str">
            <v>LAN Prepínač</v>
          </cell>
          <cell r="AB138">
            <v>13774.800000000001</v>
          </cell>
        </row>
        <row r="139">
          <cell r="X139" t="str">
            <v>LAN Prepínač</v>
          </cell>
          <cell r="AB139">
            <v>37705</v>
          </cell>
        </row>
        <row r="140">
          <cell r="X140" t="str">
            <v>LAN Prepínač</v>
          </cell>
          <cell r="AB140">
            <v>27832</v>
          </cell>
        </row>
        <row r="141">
          <cell r="X141" t="str">
            <v>WIFI prístupový bod</v>
          </cell>
          <cell r="AB141">
            <v>1591</v>
          </cell>
        </row>
        <row r="142">
          <cell r="X142" t="str">
            <v>WIFI prístupový bod</v>
          </cell>
          <cell r="AB142">
            <v>481.20000000000005</v>
          </cell>
        </row>
        <row r="143">
          <cell r="X143" t="str">
            <v>WIFI prístupový bod</v>
          </cell>
          <cell r="AB143">
            <v>528.59999999999991</v>
          </cell>
        </row>
        <row r="144">
          <cell r="X144" t="str">
            <v>WIFI prístupový bod</v>
          </cell>
          <cell r="AB144">
            <v>1267</v>
          </cell>
        </row>
        <row r="145">
          <cell r="X145" t="str">
            <v>WIFI prístupový bod</v>
          </cell>
          <cell r="AB145">
            <v>286.39999999999998</v>
          </cell>
        </row>
        <row r="146">
          <cell r="X146" t="str">
            <v>Záložný zdroj</v>
          </cell>
          <cell r="AB146">
            <v>47.1</v>
          </cell>
        </row>
        <row r="147">
          <cell r="X147" t="str">
            <v>Záložný zdroj</v>
          </cell>
          <cell r="AB147">
            <v>52.2</v>
          </cell>
        </row>
        <row r="148">
          <cell r="X148" t="str">
            <v>Záložný zdroj</v>
          </cell>
          <cell r="AB148">
            <v>129.1</v>
          </cell>
        </row>
        <row r="149">
          <cell r="X149" t="str">
            <v>Záložný zdroj</v>
          </cell>
          <cell r="AB149">
            <v>422.2</v>
          </cell>
        </row>
        <row r="150">
          <cell r="X150" t="str">
            <v>Záložný zdroj</v>
          </cell>
          <cell r="AB150">
            <v>1114</v>
          </cell>
        </row>
        <row r="151">
          <cell r="X151" t="str">
            <v>Záložný zdroj</v>
          </cell>
          <cell r="AB151">
            <v>1984</v>
          </cell>
        </row>
        <row r="152">
          <cell r="X152" t="str">
            <v>Notebook</v>
          </cell>
          <cell r="AB152">
            <v>22153.800000000003</v>
          </cell>
        </row>
        <row r="153">
          <cell r="X153" t="str">
            <v>Notebook</v>
          </cell>
          <cell r="AB153">
            <v>19129.8</v>
          </cell>
        </row>
        <row r="154">
          <cell r="X154" t="str">
            <v>Notebook</v>
          </cell>
          <cell r="AB154">
            <v>20212.5</v>
          </cell>
        </row>
        <row r="155">
          <cell r="X155" t="str">
            <v>Notebook</v>
          </cell>
          <cell r="AB155">
            <v>14061.6</v>
          </cell>
        </row>
        <row r="156">
          <cell r="X156" t="str">
            <v>Notebook</v>
          </cell>
          <cell r="AB156">
            <v>12870.8</v>
          </cell>
        </row>
        <row r="157">
          <cell r="X157" t="str">
            <v>Notebook</v>
          </cell>
          <cell r="AB157">
            <v>16118.25</v>
          </cell>
        </row>
        <row r="158">
          <cell r="X158" t="str">
            <v>Notebook</v>
          </cell>
          <cell r="AB158">
            <v>7282.6</v>
          </cell>
        </row>
        <row r="159">
          <cell r="X159" t="str">
            <v>Notebook</v>
          </cell>
          <cell r="AB159">
            <v>8282.6</v>
          </cell>
        </row>
        <row r="160">
          <cell r="X160" t="str">
            <v>Notebook</v>
          </cell>
          <cell r="AB160">
            <v>4516.1400000000003</v>
          </cell>
        </row>
        <row r="161">
          <cell r="X161" t="str">
            <v>Notebook</v>
          </cell>
          <cell r="AB161">
            <v>5818.0499999999993</v>
          </cell>
        </row>
        <row r="162">
          <cell r="X162" t="str">
            <v>Notebook</v>
          </cell>
          <cell r="AB162">
            <v>7855.17</v>
          </cell>
        </row>
        <row r="163">
          <cell r="X163" t="str">
            <v>Tablet</v>
          </cell>
          <cell r="AB163">
            <v>3076.5</v>
          </cell>
        </row>
        <row r="164">
          <cell r="X164" t="str">
            <v>Tablet</v>
          </cell>
          <cell r="AB164">
            <v>2917.45</v>
          </cell>
        </row>
        <row r="165">
          <cell r="X165" t="str">
            <v>Tablet</v>
          </cell>
          <cell r="AB165">
            <v>2823.2999999999997</v>
          </cell>
        </row>
        <row r="166">
          <cell r="X166" t="str">
            <v>Tablet</v>
          </cell>
          <cell r="AB166">
            <v>4258.6000000000004</v>
          </cell>
        </row>
        <row r="167">
          <cell r="X167" t="str">
            <v>Počítač</v>
          </cell>
          <cell r="AB167">
            <v>19142.100000000002</v>
          </cell>
        </row>
        <row r="168">
          <cell r="X168" t="str">
            <v>Počítač</v>
          </cell>
          <cell r="AB168">
            <v>31727</v>
          </cell>
        </row>
        <row r="169">
          <cell r="X169" t="str">
            <v>Počítač</v>
          </cell>
          <cell r="AB169">
            <v>22742.100000000002</v>
          </cell>
        </row>
        <row r="170">
          <cell r="X170" t="str">
            <v>Počítač</v>
          </cell>
          <cell r="AB170">
            <v>19867.2</v>
          </cell>
        </row>
        <row r="171">
          <cell r="X171" t="str">
            <v>Počítač</v>
          </cell>
          <cell r="AB171">
            <v>22455.599999999999</v>
          </cell>
        </row>
        <row r="172">
          <cell r="X172" t="str">
            <v>Počítač</v>
          </cell>
          <cell r="AB172">
            <v>24102.600000000002</v>
          </cell>
        </row>
        <row r="173">
          <cell r="X173" t="str">
            <v>Počítač</v>
          </cell>
          <cell r="AB173">
            <v>13161.400000000001</v>
          </cell>
        </row>
        <row r="174">
          <cell r="X174" t="str">
            <v>Počítač</v>
          </cell>
          <cell r="AB174">
            <v>7639.5</v>
          </cell>
        </row>
        <row r="175">
          <cell r="X175" t="str">
            <v>Počítač</v>
          </cell>
          <cell r="AB175">
            <v>12404.2</v>
          </cell>
        </row>
        <row r="176">
          <cell r="X176" t="str">
            <v>Počítač</v>
          </cell>
          <cell r="AB176">
            <v>14757.2</v>
          </cell>
        </row>
        <row r="177">
          <cell r="X177" t="str">
            <v>Počítač</v>
          </cell>
          <cell r="AB177">
            <v>6383.7000000000007</v>
          </cell>
        </row>
        <row r="178">
          <cell r="X178" t="str">
            <v>Počítač</v>
          </cell>
          <cell r="AB178">
            <v>6702.88</v>
          </cell>
        </row>
        <row r="179">
          <cell r="X179" t="str">
            <v>Počítač</v>
          </cell>
          <cell r="AB179">
            <v>7038.93</v>
          </cell>
        </row>
        <row r="180">
          <cell r="X180" t="str">
            <v>Monitor</v>
          </cell>
          <cell r="AB180">
            <v>3570.5</v>
          </cell>
        </row>
        <row r="181">
          <cell r="X181" t="str">
            <v>Monitor</v>
          </cell>
          <cell r="AB181">
            <v>9738</v>
          </cell>
        </row>
        <row r="182">
          <cell r="X182" t="str">
            <v>Monitor</v>
          </cell>
          <cell r="AB182">
            <v>6545.5</v>
          </cell>
        </row>
        <row r="183">
          <cell r="X183" t="str">
            <v>Monitor</v>
          </cell>
          <cell r="AB183">
            <v>5517.3</v>
          </cell>
        </row>
        <row r="184">
          <cell r="X184" t="str">
            <v>Monitor</v>
          </cell>
          <cell r="AB184">
            <v>3137.2000000000003</v>
          </cell>
        </row>
        <row r="185">
          <cell r="X185" t="str">
            <v>Monitor</v>
          </cell>
          <cell r="AB185">
            <v>4929.5999999999995</v>
          </cell>
        </row>
        <row r="186">
          <cell r="X186" t="str">
            <v>Tlačiareň</v>
          </cell>
          <cell r="AB186">
            <v>910.8</v>
          </cell>
        </row>
        <row r="187">
          <cell r="X187" t="str">
            <v>Tlačiareň</v>
          </cell>
          <cell r="AB187">
            <v>2447.1</v>
          </cell>
        </row>
        <row r="188">
          <cell r="X188" t="str">
            <v>Tlačiareň</v>
          </cell>
          <cell r="AB188">
            <v>1547.8999999999999</v>
          </cell>
        </row>
        <row r="189">
          <cell r="X189" t="str">
            <v>Tlačiareň</v>
          </cell>
          <cell r="AB189">
            <v>1329.42</v>
          </cell>
        </row>
        <row r="190">
          <cell r="X190" t="str">
            <v>Tlačiareň</v>
          </cell>
          <cell r="AB190">
            <v>3045.4</v>
          </cell>
        </row>
        <row r="191">
          <cell r="X191" t="str">
            <v>Tlačiareň</v>
          </cell>
          <cell r="AB191">
            <v>3458.82</v>
          </cell>
        </row>
        <row r="192">
          <cell r="X192" t="str">
            <v>Multifunkčné zariadenie</v>
          </cell>
          <cell r="AB192">
            <v>4600</v>
          </cell>
        </row>
        <row r="193">
          <cell r="X193" t="str">
            <v>Multifunkčné zariadenie</v>
          </cell>
          <cell r="AB193">
            <v>627.20000000000005</v>
          </cell>
        </row>
        <row r="194">
          <cell r="X194" t="str">
            <v>Multifunkčné zariadenie</v>
          </cell>
          <cell r="AB194">
            <v>1029.25</v>
          </cell>
        </row>
        <row r="195">
          <cell r="X195" t="str">
            <v>Multifunkčné zariadenie</v>
          </cell>
          <cell r="AB195">
            <v>2170.59</v>
          </cell>
        </row>
        <row r="196">
          <cell r="X196" t="str">
            <v>Multifunkčné zariadenie</v>
          </cell>
          <cell r="AB196">
            <v>2220.06</v>
          </cell>
        </row>
        <row r="197">
          <cell r="X197" t="str">
            <v>Multifunkčné zariadenie</v>
          </cell>
          <cell r="AB197">
            <v>2075.6799999999998</v>
          </cell>
        </row>
        <row r="198">
          <cell r="X198" t="str">
            <v>Multifunkčné zariadenie</v>
          </cell>
          <cell r="AB198">
            <v>5058.82</v>
          </cell>
        </row>
        <row r="199">
          <cell r="X199" t="str">
            <v>Skener</v>
          </cell>
          <cell r="AB199">
            <v>341.04999999999995</v>
          </cell>
        </row>
        <row r="200">
          <cell r="X200" t="str">
            <v>Skener</v>
          </cell>
          <cell r="AB200">
            <v>691</v>
          </cell>
        </row>
        <row r="201">
          <cell r="X201" t="str">
            <v>Ploter</v>
          </cell>
          <cell r="AB201">
            <v>2825.92</v>
          </cell>
        </row>
        <row r="202">
          <cell r="X202" t="str">
            <v>Ploter</v>
          </cell>
          <cell r="AB202">
            <v>1926.27</v>
          </cell>
        </row>
        <row r="203">
          <cell r="X203" t="str">
            <v>Projektor</v>
          </cell>
          <cell r="AB203">
            <v>6705.9000000000005</v>
          </cell>
        </row>
        <row r="204">
          <cell r="X204" t="str">
            <v>Projektor</v>
          </cell>
          <cell r="AB204">
            <v>1658.82</v>
          </cell>
        </row>
        <row r="205">
          <cell r="X205" t="str">
            <v>Projektor</v>
          </cell>
          <cell r="AB205">
            <v>4411.76</v>
          </cell>
        </row>
        <row r="206">
          <cell r="X206" t="str">
            <v>Projektor</v>
          </cell>
          <cell r="AB206">
            <v>3105.88</v>
          </cell>
        </row>
        <row r="207">
          <cell r="X207" t="str">
            <v>Projektor</v>
          </cell>
          <cell r="AB207">
            <v>18352.939999999999</v>
          </cell>
        </row>
        <row r="208">
          <cell r="X208" t="str">
            <v>Projektor</v>
          </cell>
          <cell r="AB208">
            <v>21428.57</v>
          </cell>
        </row>
        <row r="209">
          <cell r="X209" t="str">
            <v>Pevný disk</v>
          </cell>
          <cell r="AB209">
            <v>1196.2</v>
          </cell>
        </row>
        <row r="210">
          <cell r="X210" t="str">
            <v>Pevný disk</v>
          </cell>
          <cell r="AB210">
            <v>1666.2</v>
          </cell>
        </row>
        <row r="211">
          <cell r="X211" t="str">
            <v>Pevný disk</v>
          </cell>
          <cell r="AB211">
            <v>2178.8000000000002</v>
          </cell>
        </row>
        <row r="212">
          <cell r="X212" t="str">
            <v>Pevný disk</v>
          </cell>
          <cell r="AB212">
            <v>846.80000000000007</v>
          </cell>
        </row>
        <row r="213">
          <cell r="X213" t="str">
            <v>Pevný disk</v>
          </cell>
          <cell r="AB213">
            <v>1090.5</v>
          </cell>
        </row>
        <row r="214">
          <cell r="X214" t="str">
            <v>Pevný disk</v>
          </cell>
          <cell r="AB214">
            <v>928.94999999999993</v>
          </cell>
        </row>
        <row r="215">
          <cell r="X215" t="str">
            <v>Príslušenstvo</v>
          </cell>
          <cell r="AB215">
            <v>25.72</v>
          </cell>
        </row>
        <row r="216">
          <cell r="X216" t="str">
            <v>Príslušenstvo</v>
          </cell>
          <cell r="AB216">
            <v>23.34</v>
          </cell>
        </row>
        <row r="217">
          <cell r="X217" t="str">
            <v>PC zdroj</v>
          </cell>
          <cell r="AB217">
            <v>714.59999999999991</v>
          </cell>
        </row>
        <row r="218">
          <cell r="X218" t="str">
            <v>PC zdroj</v>
          </cell>
          <cell r="AB218">
            <v>715.19999999999993</v>
          </cell>
        </row>
        <row r="219">
          <cell r="X219" t="str">
            <v>PC zdroj</v>
          </cell>
          <cell r="AB219">
            <v>502.35</v>
          </cell>
        </row>
        <row r="220">
          <cell r="X220" t="str">
            <v>Pevný disk</v>
          </cell>
          <cell r="AB220">
            <v>227.95000000000002</v>
          </cell>
        </row>
        <row r="221">
          <cell r="X221" t="str">
            <v>Pevný disk</v>
          </cell>
          <cell r="AB221">
            <v>315.10000000000002</v>
          </cell>
        </row>
        <row r="222">
          <cell r="X222" t="str">
            <v>Pevný disk</v>
          </cell>
          <cell r="AB222">
            <v>459.4</v>
          </cell>
        </row>
        <row r="223">
          <cell r="X223" t="str">
            <v>Pevný disk</v>
          </cell>
          <cell r="AB223">
            <v>530.25</v>
          </cell>
        </row>
        <row r="224">
          <cell r="X224" t="str">
            <v>Pevný disk</v>
          </cell>
          <cell r="AB224">
            <v>1161</v>
          </cell>
        </row>
        <row r="225">
          <cell r="X225" t="str">
            <v>Pevný disk</v>
          </cell>
          <cell r="AB225">
            <v>1018.4000000000001</v>
          </cell>
        </row>
        <row r="226">
          <cell r="X226" t="str">
            <v>Pevný disk</v>
          </cell>
          <cell r="AB226">
            <v>752.65</v>
          </cell>
        </row>
        <row r="227">
          <cell r="X227" t="str">
            <v>Pevný disk</v>
          </cell>
          <cell r="AB227">
            <v>302.8</v>
          </cell>
        </row>
        <row r="228">
          <cell r="X228" t="str">
            <v>Pevný disk</v>
          </cell>
          <cell r="AB228">
            <v>520.4</v>
          </cell>
        </row>
        <row r="229">
          <cell r="X229" t="str">
            <v>Pevný disk</v>
          </cell>
          <cell r="AB229">
            <v>525.25</v>
          </cell>
        </row>
        <row r="230">
          <cell r="X230" t="str">
            <v>RAM</v>
          </cell>
          <cell r="AB230">
            <v>512.4</v>
          </cell>
        </row>
        <row r="231">
          <cell r="X231" t="str">
            <v>RAM</v>
          </cell>
          <cell r="AB231">
            <v>349</v>
          </cell>
        </row>
        <row r="232">
          <cell r="X232" t="str">
            <v>RAM</v>
          </cell>
          <cell r="AB232">
            <v>199.7</v>
          </cell>
        </row>
        <row r="233">
          <cell r="X233" t="str">
            <v>RAM</v>
          </cell>
          <cell r="AB233">
            <v>88.05</v>
          </cell>
        </row>
        <row r="234">
          <cell r="X234" t="str">
            <v>RAM</v>
          </cell>
          <cell r="AB234">
            <v>167.35</v>
          </cell>
        </row>
        <row r="235">
          <cell r="X235" t="str">
            <v>RAM</v>
          </cell>
          <cell r="AB235">
            <v>366.95</v>
          </cell>
        </row>
        <row r="236">
          <cell r="X236" t="str">
            <v>RAM</v>
          </cell>
          <cell r="AB236">
            <v>256.2</v>
          </cell>
        </row>
        <row r="237">
          <cell r="X237" t="str">
            <v>RAM</v>
          </cell>
          <cell r="AB237">
            <v>102.65</v>
          </cell>
        </row>
        <row r="238">
          <cell r="X238" t="str">
            <v>RAM</v>
          </cell>
          <cell r="AB238">
            <v>165.10000000000002</v>
          </cell>
        </row>
        <row r="239">
          <cell r="X239" t="str">
            <v>RAM</v>
          </cell>
          <cell r="AB239">
            <v>86.55</v>
          </cell>
        </row>
        <row r="240">
          <cell r="X240" t="str">
            <v>RAM</v>
          </cell>
          <cell r="AB240">
            <v>157.5</v>
          </cell>
        </row>
        <row r="241">
          <cell r="X241" t="str">
            <v>RAM</v>
          </cell>
          <cell r="AB241">
            <v>366.95</v>
          </cell>
        </row>
        <row r="242">
          <cell r="X242" t="str">
            <v>Grafická karta</v>
          </cell>
          <cell r="AB242">
            <v>242.7</v>
          </cell>
        </row>
        <row r="243">
          <cell r="X243" t="str">
            <v>Grafická karta</v>
          </cell>
          <cell r="AB243">
            <v>714.25</v>
          </cell>
        </row>
        <row r="244">
          <cell r="X244" t="str">
            <v>Grafická karta</v>
          </cell>
          <cell r="AB244">
            <v>3684.8</v>
          </cell>
        </row>
        <row r="245">
          <cell r="X245" t="str">
            <v>Diskové pole</v>
          </cell>
          <cell r="AB245">
            <v>2414</v>
          </cell>
        </row>
        <row r="246">
          <cell r="X246" t="str">
            <v>Diskové pole</v>
          </cell>
          <cell r="AB246">
            <v>2481.66</v>
          </cell>
        </row>
        <row r="247">
          <cell r="X247" t="str">
            <v>Diskové pole</v>
          </cell>
          <cell r="AB247">
            <v>6673.33</v>
          </cell>
        </row>
        <row r="248">
          <cell r="X248" t="str">
            <v>Diskové pole</v>
          </cell>
          <cell r="AB248">
            <v>36006.06</v>
          </cell>
        </row>
        <row r="249">
          <cell r="X249" t="str">
            <v>Server</v>
          </cell>
          <cell r="AB249">
            <v>3869.44</v>
          </cell>
        </row>
        <row r="250">
          <cell r="X250" t="str">
            <v>Server</v>
          </cell>
          <cell r="AB250">
            <v>17777.43</v>
          </cell>
        </row>
        <row r="251">
          <cell r="X251" t="str">
            <v>Server</v>
          </cell>
          <cell r="AB251">
            <v>8023.53</v>
          </cell>
        </row>
        <row r="252">
          <cell r="X252" t="str">
            <v>Server</v>
          </cell>
          <cell r="AB252">
            <v>31360.15</v>
          </cell>
        </row>
        <row r="253">
          <cell r="X253" t="str">
            <v>LAN Prepínač</v>
          </cell>
          <cell r="AB253">
            <v>24570.9</v>
          </cell>
        </row>
        <row r="254">
          <cell r="X254" t="str">
            <v>LAN Prepínač</v>
          </cell>
          <cell r="AB254">
            <v>26123.4</v>
          </cell>
        </row>
        <row r="255">
          <cell r="X255" t="str">
            <v>LAN Prepínač</v>
          </cell>
          <cell r="AB255">
            <v>12908.46</v>
          </cell>
        </row>
        <row r="256">
          <cell r="X256" t="str">
            <v>LAN Prepínač</v>
          </cell>
          <cell r="AB256">
            <v>14950.68</v>
          </cell>
        </row>
        <row r="257">
          <cell r="X257" t="str">
            <v>LAN Prepínač</v>
          </cell>
          <cell r="AB257">
            <v>40923.519999999997</v>
          </cell>
        </row>
        <row r="258">
          <cell r="X258" t="str">
            <v>LAN Prepínač</v>
          </cell>
          <cell r="AB258">
            <v>30207.83</v>
          </cell>
        </row>
        <row r="259">
          <cell r="X259" t="str">
            <v>WIFI prístupový bod</v>
          </cell>
          <cell r="AB259">
            <v>1707.3</v>
          </cell>
        </row>
        <row r="260">
          <cell r="X260" t="str">
            <v>WIFI prístupový bod</v>
          </cell>
          <cell r="AB260">
            <v>530.46</v>
          </cell>
        </row>
        <row r="261">
          <cell r="X261" t="str">
            <v>WIFI prístupový bod</v>
          </cell>
          <cell r="AB261">
            <v>585.36</v>
          </cell>
        </row>
        <row r="262">
          <cell r="X262" t="str">
            <v>WIFI prístupový bod</v>
          </cell>
          <cell r="AB262">
            <v>1345.6999999999998</v>
          </cell>
        </row>
        <row r="263">
          <cell r="X263" t="str">
            <v>WIFI prístupový bod</v>
          </cell>
          <cell r="AB263">
            <v>312.2</v>
          </cell>
        </row>
        <row r="264">
          <cell r="X264" t="str">
            <v>Záložný zdroj</v>
          </cell>
          <cell r="AB264">
            <v>49.28</v>
          </cell>
        </row>
        <row r="265">
          <cell r="X265" t="str">
            <v>Záložný zdroj</v>
          </cell>
          <cell r="AB265">
            <v>54.55</v>
          </cell>
        </row>
        <row r="266">
          <cell r="X266" t="str">
            <v>Záložný zdroj</v>
          </cell>
          <cell r="AB266">
            <v>135.09</v>
          </cell>
        </row>
        <row r="267">
          <cell r="X267" t="str">
            <v>Záložný zdroj</v>
          </cell>
          <cell r="AB267">
            <v>442.04</v>
          </cell>
        </row>
        <row r="268">
          <cell r="X268" t="str">
            <v>Záložný zdroj</v>
          </cell>
          <cell r="AB268">
            <v>1166.3399999999999</v>
          </cell>
        </row>
        <row r="269">
          <cell r="X269" t="str">
            <v>Záložný zdroj</v>
          </cell>
          <cell r="AB269">
            <v>2077.3200000000002</v>
          </cell>
        </row>
        <row r="270">
          <cell r="X270" t="str">
            <v>Notebook</v>
          </cell>
          <cell r="AB270">
            <v>22538.399999999998</v>
          </cell>
        </row>
        <row r="271">
          <cell r="X271" t="str">
            <v>Notebook</v>
          </cell>
          <cell r="AB271">
            <v>19882.95</v>
          </cell>
        </row>
        <row r="272">
          <cell r="X272" t="str">
            <v>Notebook</v>
          </cell>
          <cell r="AB272">
            <v>20884.5</v>
          </cell>
        </row>
        <row r="273">
          <cell r="X273" t="str">
            <v>Notebook</v>
          </cell>
          <cell r="AB273">
            <v>14036.579999999998</v>
          </cell>
        </row>
        <row r="274">
          <cell r="X274" t="str">
            <v>Notebook</v>
          </cell>
          <cell r="AB274">
            <v>12400.5</v>
          </cell>
        </row>
        <row r="275">
          <cell r="X275" t="str">
            <v>Notebook</v>
          </cell>
          <cell r="AB275">
            <v>17034.25</v>
          </cell>
        </row>
        <row r="276">
          <cell r="X276" t="str">
            <v>Notebook</v>
          </cell>
          <cell r="AB276">
            <v>7635.2</v>
          </cell>
        </row>
        <row r="277">
          <cell r="X277" t="str">
            <v>Notebook</v>
          </cell>
          <cell r="AB277">
            <v>8345.2999999999993</v>
          </cell>
        </row>
        <row r="278">
          <cell r="X278" t="str">
            <v>Notebook</v>
          </cell>
          <cell r="AB278">
            <v>4011.33</v>
          </cell>
        </row>
        <row r="279">
          <cell r="X279" t="str">
            <v>Notebook</v>
          </cell>
          <cell r="AB279">
            <v>5206.47</v>
          </cell>
        </row>
        <row r="280">
          <cell r="X280" t="str">
            <v>Notebook</v>
          </cell>
          <cell r="AB280">
            <v>6227.3099999999995</v>
          </cell>
        </row>
        <row r="281">
          <cell r="X281" t="str">
            <v>Tablet</v>
          </cell>
          <cell r="AB281">
            <v>3342.5</v>
          </cell>
        </row>
        <row r="282">
          <cell r="X282" t="str">
            <v>Tablet</v>
          </cell>
          <cell r="AB282">
            <v>2668.15</v>
          </cell>
        </row>
        <row r="283">
          <cell r="X283" t="str">
            <v>Tablet</v>
          </cell>
          <cell r="AB283">
            <v>2513.5499999999997</v>
          </cell>
        </row>
        <row r="284">
          <cell r="X284" t="str">
            <v>Tablet</v>
          </cell>
          <cell r="AB284">
            <v>3806.6000000000004</v>
          </cell>
        </row>
        <row r="285">
          <cell r="X285" t="str">
            <v>Počítač</v>
          </cell>
          <cell r="AB285">
            <v>17194.8</v>
          </cell>
        </row>
        <row r="286">
          <cell r="X286" t="str">
            <v>Počítač</v>
          </cell>
          <cell r="AB286">
            <v>31933</v>
          </cell>
        </row>
        <row r="287">
          <cell r="X287" t="str">
            <v>Počítač</v>
          </cell>
          <cell r="AB287">
            <v>22090.5</v>
          </cell>
        </row>
        <row r="288">
          <cell r="X288" t="str">
            <v>Počítač</v>
          </cell>
          <cell r="AB288">
            <v>19812.8</v>
          </cell>
        </row>
        <row r="289">
          <cell r="X289" t="str">
            <v>Počítač</v>
          </cell>
          <cell r="AB289">
            <v>19635</v>
          </cell>
        </row>
        <row r="290">
          <cell r="X290" t="str">
            <v>Počítač</v>
          </cell>
          <cell r="AB290">
            <v>25963.200000000001</v>
          </cell>
        </row>
        <row r="291">
          <cell r="X291" t="str">
            <v>Počítač</v>
          </cell>
          <cell r="AB291">
            <v>12573.199999999999</v>
          </cell>
        </row>
        <row r="292">
          <cell r="X292" t="str">
            <v>Počítač</v>
          </cell>
          <cell r="AB292">
            <v>7441.3</v>
          </cell>
        </row>
        <row r="293">
          <cell r="X293" t="str">
            <v>Počítač</v>
          </cell>
          <cell r="AB293">
            <v>12981.7</v>
          </cell>
        </row>
        <row r="294">
          <cell r="X294" t="str">
            <v>Počítač</v>
          </cell>
          <cell r="AB294">
            <v>15246.199999999999</v>
          </cell>
        </row>
        <row r="295">
          <cell r="X295" t="str">
            <v>Počítač</v>
          </cell>
          <cell r="AB295">
            <v>5624.1</v>
          </cell>
        </row>
        <row r="296">
          <cell r="X296" t="str">
            <v>Počítač</v>
          </cell>
          <cell r="AB296">
            <v>6236.16</v>
          </cell>
        </row>
        <row r="297">
          <cell r="X297" t="str">
            <v>Počítač</v>
          </cell>
          <cell r="AB297">
            <v>6608.7899999999991</v>
          </cell>
        </row>
        <row r="298">
          <cell r="X298" t="str">
            <v>Monitor</v>
          </cell>
          <cell r="AB298">
            <v>3176</v>
          </cell>
        </row>
        <row r="299">
          <cell r="X299" t="str">
            <v>Monitor</v>
          </cell>
          <cell r="AB299">
            <v>8971</v>
          </cell>
        </row>
        <row r="300">
          <cell r="X300" t="str">
            <v>Monitor</v>
          </cell>
          <cell r="AB300">
            <v>6150</v>
          </cell>
        </row>
        <row r="301">
          <cell r="X301" t="str">
            <v>Monitor</v>
          </cell>
          <cell r="AB301">
            <v>4980.6000000000004</v>
          </cell>
        </row>
        <row r="302">
          <cell r="X302" t="str">
            <v>Monitor</v>
          </cell>
          <cell r="AB302">
            <v>2890.2</v>
          </cell>
        </row>
        <row r="303">
          <cell r="X303" t="str">
            <v>Monitor</v>
          </cell>
          <cell r="AB303">
            <v>4541.6000000000004</v>
          </cell>
        </row>
        <row r="304">
          <cell r="X304" t="str">
            <v>Tlačiareň</v>
          </cell>
          <cell r="AB304">
            <v>746</v>
          </cell>
        </row>
        <row r="305">
          <cell r="X305" t="str">
            <v>Tlačiareň</v>
          </cell>
          <cell r="AB305">
            <v>2297.8000000000002</v>
          </cell>
        </row>
        <row r="306">
          <cell r="X306" t="str">
            <v>Tlačiareň</v>
          </cell>
          <cell r="AB306">
            <v>1385.3999999999999</v>
          </cell>
        </row>
        <row r="307">
          <cell r="X307" t="str">
            <v>Tlačiareň</v>
          </cell>
          <cell r="AB307">
            <v>1248.3399999999999</v>
          </cell>
        </row>
        <row r="308">
          <cell r="X308" t="str">
            <v>Tlačiareň</v>
          </cell>
          <cell r="AB308">
            <v>2859.7000000000003</v>
          </cell>
        </row>
        <row r="309">
          <cell r="X309" t="str">
            <v>Tlačiareň</v>
          </cell>
          <cell r="AB309">
            <v>3247.8599999999997</v>
          </cell>
        </row>
        <row r="310">
          <cell r="X310" t="str">
            <v>Multifunkčné zariadenie</v>
          </cell>
          <cell r="AB310">
            <v>4319.5</v>
          </cell>
        </row>
        <row r="311">
          <cell r="X311" t="str">
            <v>Multifunkčné zariadenie</v>
          </cell>
          <cell r="AB311">
            <v>454.35</v>
          </cell>
        </row>
        <row r="312">
          <cell r="X312" t="str">
            <v>Multifunkčné zariadenie</v>
          </cell>
          <cell r="AB312">
            <v>1035.5</v>
          </cell>
        </row>
        <row r="313">
          <cell r="X313" t="str">
            <v>Multifunkčné zariadenie</v>
          </cell>
          <cell r="AB313">
            <v>2038.1999999999998</v>
          </cell>
        </row>
        <row r="314">
          <cell r="X314" t="str">
            <v>Multifunkčné zariadenie</v>
          </cell>
          <cell r="AB314">
            <v>2272.6799999999998</v>
          </cell>
        </row>
        <row r="315">
          <cell r="X315" t="str">
            <v>Multifunkčné zariadenie</v>
          </cell>
          <cell r="AB315">
            <v>2509.16</v>
          </cell>
        </row>
        <row r="316">
          <cell r="X316" t="str">
            <v>Multifunkčné zariadenie</v>
          </cell>
          <cell r="AB316">
            <v>4750.3</v>
          </cell>
        </row>
        <row r="317">
          <cell r="X317" t="str">
            <v>Skener</v>
          </cell>
          <cell r="AB317">
            <v>416.59999999999997</v>
          </cell>
        </row>
        <row r="318">
          <cell r="X318" t="str">
            <v>Skener</v>
          </cell>
          <cell r="AB318">
            <v>798.7</v>
          </cell>
        </row>
        <row r="319">
          <cell r="X319" t="str">
            <v>Ploter</v>
          </cell>
          <cell r="AB319">
            <v>2664.96</v>
          </cell>
        </row>
        <row r="320">
          <cell r="X320" t="str">
            <v>Ploter</v>
          </cell>
          <cell r="AB320">
            <v>1809.42</v>
          </cell>
        </row>
        <row r="321">
          <cell r="X321" t="str">
            <v>Projektor</v>
          </cell>
          <cell r="AB321">
            <v>5959.9</v>
          </cell>
        </row>
        <row r="322">
          <cell r="X322" t="str">
            <v>Projektor</v>
          </cell>
          <cell r="AB322">
            <v>1472.56</v>
          </cell>
        </row>
        <row r="323">
          <cell r="X323" t="str">
            <v>Projektor</v>
          </cell>
          <cell r="AB323">
            <v>5723.52</v>
          </cell>
        </row>
        <row r="324">
          <cell r="X324" t="str">
            <v>Projektor</v>
          </cell>
          <cell r="AB324">
            <v>3611.3</v>
          </cell>
        </row>
        <row r="325">
          <cell r="X325" t="str">
            <v>Projektor</v>
          </cell>
          <cell r="AB325">
            <v>19996.5</v>
          </cell>
        </row>
        <row r="326">
          <cell r="X326" t="str">
            <v>Projektor</v>
          </cell>
          <cell r="AB326">
            <v>22094.39</v>
          </cell>
        </row>
        <row r="327">
          <cell r="X327" t="str">
            <v>Pevný disk</v>
          </cell>
          <cell r="AB327">
            <v>1219.2</v>
          </cell>
        </row>
        <row r="328">
          <cell r="X328" t="str">
            <v>Pevný disk</v>
          </cell>
          <cell r="AB328">
            <v>1886.6</v>
          </cell>
        </row>
        <row r="329">
          <cell r="X329" t="str">
            <v>Pevný disk</v>
          </cell>
          <cell r="AB329">
            <v>2206.1999999999998</v>
          </cell>
        </row>
        <row r="330">
          <cell r="X330" t="str">
            <v>Pevný disk</v>
          </cell>
          <cell r="AB330">
            <v>541.19999999999993</v>
          </cell>
        </row>
        <row r="331">
          <cell r="X331" t="str">
            <v>Pevný disk</v>
          </cell>
          <cell r="AB331">
            <v>1018.9</v>
          </cell>
        </row>
        <row r="332">
          <cell r="X332" t="str">
            <v>Pevný disk</v>
          </cell>
          <cell r="AB332">
            <v>737.30000000000007</v>
          </cell>
        </row>
        <row r="333">
          <cell r="X333" t="str">
            <v>PC zdroj</v>
          </cell>
          <cell r="AB333">
            <v>663</v>
          </cell>
        </row>
        <row r="334">
          <cell r="X334" t="str">
            <v>PC zdroj</v>
          </cell>
          <cell r="AB334">
            <v>546.5</v>
          </cell>
        </row>
        <row r="335">
          <cell r="X335" t="str">
            <v>PC zdroj</v>
          </cell>
          <cell r="AB335">
            <v>501.5</v>
          </cell>
        </row>
        <row r="336">
          <cell r="X336" t="str">
            <v>Pevný disk</v>
          </cell>
          <cell r="AB336">
            <v>205.75</v>
          </cell>
        </row>
        <row r="337">
          <cell r="X337" t="str">
            <v>Pevný disk</v>
          </cell>
          <cell r="AB337">
            <v>283.35000000000002</v>
          </cell>
        </row>
        <row r="338">
          <cell r="X338" t="str">
            <v>Pevný disk</v>
          </cell>
          <cell r="AB338">
            <v>447.84999999999997</v>
          </cell>
        </row>
        <row r="339">
          <cell r="X339" t="str">
            <v>Pevný disk</v>
          </cell>
          <cell r="AB339">
            <v>463.45</v>
          </cell>
        </row>
        <row r="340">
          <cell r="X340" t="str">
            <v>Pevný disk</v>
          </cell>
          <cell r="AB340">
            <v>839.4</v>
          </cell>
        </row>
        <row r="341">
          <cell r="X341" t="str">
            <v>Pevný disk</v>
          </cell>
          <cell r="AB341">
            <v>971.5</v>
          </cell>
        </row>
        <row r="342">
          <cell r="X342" t="str">
            <v>Pevný disk</v>
          </cell>
          <cell r="AB342">
            <v>929.25</v>
          </cell>
        </row>
        <row r="343">
          <cell r="X343" t="str">
            <v>Pevný disk</v>
          </cell>
          <cell r="AB343">
            <v>286.60000000000002</v>
          </cell>
        </row>
        <row r="344">
          <cell r="X344" t="str">
            <v>Pevný disk</v>
          </cell>
          <cell r="AB344">
            <v>485.75</v>
          </cell>
        </row>
        <row r="345">
          <cell r="X345" t="str">
            <v>Pevný disk</v>
          </cell>
          <cell r="AB345">
            <v>470.45000000000005</v>
          </cell>
        </row>
        <row r="346">
          <cell r="X346" t="str">
            <v>RAM</v>
          </cell>
          <cell r="AB346">
            <v>504.4</v>
          </cell>
        </row>
        <row r="347">
          <cell r="X347" t="str">
            <v>RAM</v>
          </cell>
          <cell r="AB347">
            <v>320.79999999999995</v>
          </cell>
        </row>
        <row r="348">
          <cell r="X348" t="str">
            <v>RAM</v>
          </cell>
          <cell r="AB348">
            <v>166.9</v>
          </cell>
        </row>
        <row r="349">
          <cell r="X349" t="str">
            <v>RAM</v>
          </cell>
          <cell r="AB349">
            <v>83.350000000000009</v>
          </cell>
        </row>
        <row r="350">
          <cell r="X350" t="str">
            <v>RAM</v>
          </cell>
          <cell r="AB350">
            <v>154</v>
          </cell>
        </row>
        <row r="351">
          <cell r="X351" t="str">
            <v>RAM</v>
          </cell>
          <cell r="AB351">
            <v>295.79999999999995</v>
          </cell>
        </row>
        <row r="352">
          <cell r="X352" t="str">
            <v>RAM</v>
          </cell>
          <cell r="AB352">
            <v>247.10000000000002</v>
          </cell>
        </row>
        <row r="353">
          <cell r="X353" t="str">
            <v>RAM</v>
          </cell>
          <cell r="AB353">
            <v>80.199999999999989</v>
          </cell>
        </row>
        <row r="354">
          <cell r="X354" t="str">
            <v>RAM</v>
          </cell>
          <cell r="AB354">
            <v>166.9</v>
          </cell>
        </row>
        <row r="355">
          <cell r="X355" t="str">
            <v>RAM</v>
          </cell>
          <cell r="AB355">
            <v>83.350000000000009</v>
          </cell>
        </row>
        <row r="356">
          <cell r="X356" t="str">
            <v>RAM</v>
          </cell>
          <cell r="AB356">
            <v>154</v>
          </cell>
        </row>
        <row r="357">
          <cell r="X357" t="str">
            <v>RAM</v>
          </cell>
          <cell r="AB357">
            <v>305.39999999999998</v>
          </cell>
        </row>
        <row r="358">
          <cell r="X358" t="str">
            <v>Grafická karta</v>
          </cell>
          <cell r="AB358">
            <v>227.65</v>
          </cell>
        </row>
        <row r="359">
          <cell r="X359" t="str">
            <v>Grafická karta</v>
          </cell>
          <cell r="AB359">
            <v>433.45</v>
          </cell>
        </row>
        <row r="360">
          <cell r="X360" t="str">
            <v>Grafická karta</v>
          </cell>
          <cell r="AB360">
            <v>3455.6</v>
          </cell>
        </row>
        <row r="361">
          <cell r="X361" t="str">
            <v>Diskové pole</v>
          </cell>
          <cell r="AB361">
            <v>2103.7800000000002</v>
          </cell>
        </row>
        <row r="362">
          <cell r="X362" t="str">
            <v>Diskové pole</v>
          </cell>
          <cell r="AB362">
            <v>2137.31</v>
          </cell>
        </row>
        <row r="363">
          <cell r="X363" t="str">
            <v>Diskové pole</v>
          </cell>
          <cell r="AB363">
            <v>6274.36</v>
          </cell>
        </row>
        <row r="364">
          <cell r="X364" t="str">
            <v>Diskové pole</v>
          </cell>
          <cell r="AB364">
            <v>50418.29</v>
          </cell>
        </row>
        <row r="365">
          <cell r="X365" t="str">
            <v>Server</v>
          </cell>
          <cell r="AB365">
            <v>4812.16</v>
          </cell>
        </row>
        <row r="366">
          <cell r="X366" t="str">
            <v>Server</v>
          </cell>
          <cell r="AB366">
            <v>18744.87</v>
          </cell>
        </row>
        <row r="367">
          <cell r="X367" t="str">
            <v>Server</v>
          </cell>
          <cell r="AB367">
            <v>10108.18</v>
          </cell>
        </row>
        <row r="368">
          <cell r="X368" t="str">
            <v>Server</v>
          </cell>
          <cell r="AB368">
            <v>40494.6</v>
          </cell>
        </row>
        <row r="369">
          <cell r="X369" t="str">
            <v>LAN Prepínač</v>
          </cell>
          <cell r="AB369">
            <v>26513.3</v>
          </cell>
        </row>
        <row r="370">
          <cell r="X370" t="str">
            <v>LAN Prepínač</v>
          </cell>
          <cell r="AB370">
            <v>23663.1</v>
          </cell>
        </row>
        <row r="371">
          <cell r="X371" t="str">
            <v>LAN Prepínač</v>
          </cell>
          <cell r="AB371">
            <v>11692.349999999999</v>
          </cell>
        </row>
        <row r="372">
          <cell r="X372" t="str">
            <v>LAN Prepínač</v>
          </cell>
          <cell r="AB372">
            <v>13541.64</v>
          </cell>
        </row>
        <row r="373">
          <cell r="X373" t="str">
            <v>LAN Prepínač</v>
          </cell>
          <cell r="AB373">
            <v>37069.96</v>
          </cell>
        </row>
        <row r="374">
          <cell r="X374" t="str">
            <v>LAN Prepínač</v>
          </cell>
          <cell r="AB374">
            <v>27363.9</v>
          </cell>
        </row>
        <row r="375">
          <cell r="X375" t="str">
            <v>WIFI prístupový bod</v>
          </cell>
          <cell r="AB375">
            <v>1550</v>
          </cell>
        </row>
        <row r="376">
          <cell r="X376" t="str">
            <v>WIFI prístupový bod</v>
          </cell>
          <cell r="AB376">
            <v>463.5</v>
          </cell>
        </row>
        <row r="377">
          <cell r="X377" t="str">
            <v>WIFI prístupový bod</v>
          </cell>
          <cell r="AB377">
            <v>529.91999999999996</v>
          </cell>
        </row>
        <row r="378">
          <cell r="X378" t="str">
            <v>WIFI prístupový bod</v>
          </cell>
          <cell r="AB378">
            <v>1252.0999999999999</v>
          </cell>
        </row>
        <row r="379">
          <cell r="X379" t="str">
            <v>WIFI prístupový bod</v>
          </cell>
          <cell r="AB379">
            <v>284.56</v>
          </cell>
        </row>
        <row r="380">
          <cell r="X380" t="str">
            <v>Záložný zdroj</v>
          </cell>
          <cell r="AB380">
            <v>43.81</v>
          </cell>
        </row>
        <row r="381">
          <cell r="X381" t="str">
            <v>Záložný zdroj</v>
          </cell>
          <cell r="AB381">
            <v>45.57</v>
          </cell>
        </row>
        <row r="382">
          <cell r="X382" t="str">
            <v>Záložný zdroj</v>
          </cell>
          <cell r="AB382">
            <v>116.34</v>
          </cell>
        </row>
        <row r="383">
          <cell r="X383" t="str">
            <v>Záložný zdroj</v>
          </cell>
          <cell r="AB383">
            <v>391.68</v>
          </cell>
        </row>
        <row r="384">
          <cell r="X384" t="str">
            <v>Záložný zdroj</v>
          </cell>
          <cell r="AB384">
            <v>1095.21</v>
          </cell>
        </row>
        <row r="385">
          <cell r="X385" t="str">
            <v>Záložný zdroj</v>
          </cell>
          <cell r="AB385">
            <v>1950.63</v>
          </cell>
        </row>
        <row r="386">
          <cell r="X386" t="str">
            <v>Základná doska</v>
          </cell>
          <cell r="AB386">
            <v>345</v>
          </cell>
        </row>
        <row r="387">
          <cell r="X387" t="str">
            <v>Základná doska</v>
          </cell>
          <cell r="AB387">
            <v>270</v>
          </cell>
        </row>
        <row r="388">
          <cell r="X388" t="str">
            <v>Základná doska</v>
          </cell>
          <cell r="AB388">
            <v>570</v>
          </cell>
        </row>
        <row r="389">
          <cell r="X389" t="str">
            <v>Základná doska</v>
          </cell>
          <cell r="AB389">
            <v>785</v>
          </cell>
        </row>
        <row r="390">
          <cell r="X390" t="str">
            <v>Základná doska</v>
          </cell>
          <cell r="AB390">
            <v>198</v>
          </cell>
        </row>
        <row r="391">
          <cell r="X391" t="str">
            <v>Základná doska</v>
          </cell>
          <cell r="AB391">
            <v>128</v>
          </cell>
        </row>
        <row r="392">
          <cell r="X392" t="str">
            <v>Základná doska</v>
          </cell>
          <cell r="AB392">
            <v>176</v>
          </cell>
        </row>
        <row r="393">
          <cell r="X393" t="str">
            <v>Základná doska</v>
          </cell>
          <cell r="AB393">
            <v>620</v>
          </cell>
        </row>
        <row r="394">
          <cell r="X394" t="str">
            <v>Základná doska</v>
          </cell>
          <cell r="AB394">
            <v>860</v>
          </cell>
        </row>
        <row r="395">
          <cell r="X395" t="str">
            <v>Základná doska</v>
          </cell>
          <cell r="AB395">
            <v>1232</v>
          </cell>
        </row>
        <row r="396">
          <cell r="X396" t="str">
            <v>Základná doska</v>
          </cell>
          <cell r="AB396">
            <v>216</v>
          </cell>
        </row>
        <row r="397">
          <cell r="X397" t="str">
            <v>Základná doska</v>
          </cell>
          <cell r="AB397">
            <v>252</v>
          </cell>
        </row>
        <row r="398">
          <cell r="X398" t="str">
            <v>Základná doska</v>
          </cell>
          <cell r="AB398">
            <v>258</v>
          </cell>
        </row>
        <row r="399">
          <cell r="X399" t="str">
            <v>Procesor</v>
          </cell>
          <cell r="AB399">
            <v>294</v>
          </cell>
        </row>
        <row r="400">
          <cell r="X400" t="str">
            <v>Procesor</v>
          </cell>
          <cell r="AB400">
            <v>327</v>
          </cell>
        </row>
        <row r="401">
          <cell r="X401" t="str">
            <v>Procesor</v>
          </cell>
          <cell r="AB401">
            <v>345</v>
          </cell>
        </row>
        <row r="402">
          <cell r="X402" t="str">
            <v>Procesor</v>
          </cell>
          <cell r="AB402">
            <v>357</v>
          </cell>
        </row>
        <row r="403">
          <cell r="X403" t="str">
            <v>Procesor</v>
          </cell>
          <cell r="AB403">
            <v>384.59999999999997</v>
          </cell>
        </row>
        <row r="404">
          <cell r="X404" t="str">
            <v>Procesor</v>
          </cell>
          <cell r="AB404">
            <v>419.40000000000003</v>
          </cell>
        </row>
        <row r="405">
          <cell r="X405" t="str">
            <v>Procesor</v>
          </cell>
          <cell r="AB405">
            <v>594</v>
          </cell>
        </row>
        <row r="406">
          <cell r="X406" t="str">
            <v>Procesor</v>
          </cell>
          <cell r="AB406">
            <v>445</v>
          </cell>
        </row>
        <row r="407">
          <cell r="X407" t="str">
            <v>Procesor</v>
          </cell>
          <cell r="AB407">
            <v>485</v>
          </cell>
        </row>
        <row r="408">
          <cell r="X408" t="str">
            <v>Procesor</v>
          </cell>
          <cell r="AB408">
            <v>750</v>
          </cell>
        </row>
        <row r="409">
          <cell r="X409" t="str">
            <v>Procesor</v>
          </cell>
          <cell r="AB409">
            <v>775</v>
          </cell>
        </row>
        <row r="410">
          <cell r="X410" t="str">
            <v>Procesor</v>
          </cell>
          <cell r="AB410">
            <v>795</v>
          </cell>
        </row>
        <row r="411">
          <cell r="X411" t="str">
            <v>Procesor</v>
          </cell>
          <cell r="AB411">
            <v>1050</v>
          </cell>
        </row>
        <row r="412">
          <cell r="X412" t="str">
            <v>Procesor</v>
          </cell>
          <cell r="AB412">
            <v>1190</v>
          </cell>
        </row>
        <row r="413">
          <cell r="X413" t="str">
            <v>Procesor</v>
          </cell>
          <cell r="AB413">
            <v>816</v>
          </cell>
        </row>
        <row r="414">
          <cell r="X414" t="str">
            <v>Procesor</v>
          </cell>
          <cell r="AB414">
            <v>1344</v>
          </cell>
        </row>
        <row r="415">
          <cell r="X415" t="str">
            <v>Procesor</v>
          </cell>
          <cell r="AB415">
            <v>1104</v>
          </cell>
        </row>
        <row r="416">
          <cell r="X416" t="str">
            <v>Procesor</v>
          </cell>
          <cell r="AB416">
            <v>1456</v>
          </cell>
        </row>
        <row r="417">
          <cell r="X417" t="str">
            <v>Procesor</v>
          </cell>
          <cell r="AB417">
            <v>1872</v>
          </cell>
        </row>
        <row r="418">
          <cell r="X418" t="str">
            <v>Procesor</v>
          </cell>
          <cell r="AB418">
            <v>2120</v>
          </cell>
        </row>
        <row r="419">
          <cell r="X419" t="str">
            <v>Procesor</v>
          </cell>
          <cell r="AB419">
            <v>2384</v>
          </cell>
        </row>
        <row r="420">
          <cell r="X420" t="str">
            <v>Procesor</v>
          </cell>
          <cell r="AB420">
            <v>2680</v>
          </cell>
        </row>
        <row r="421">
          <cell r="X421" t="str">
            <v>Procesor</v>
          </cell>
          <cell r="AB421">
            <v>134.80000000000001</v>
          </cell>
        </row>
        <row r="422">
          <cell r="X422" t="str">
            <v>Procesor</v>
          </cell>
          <cell r="AB422">
            <v>596</v>
          </cell>
        </row>
        <row r="423">
          <cell r="X423" t="str">
            <v>Procesor</v>
          </cell>
          <cell r="AB423">
            <v>630</v>
          </cell>
        </row>
        <row r="424">
          <cell r="X424" t="str">
            <v>Procesor</v>
          </cell>
          <cell r="AB424">
            <v>38</v>
          </cell>
        </row>
        <row r="425">
          <cell r="X425" t="str">
            <v>Procesor</v>
          </cell>
          <cell r="AB425">
            <v>47</v>
          </cell>
        </row>
        <row r="426">
          <cell r="X426" t="str">
            <v>Procesor</v>
          </cell>
          <cell r="AB426">
            <v>64</v>
          </cell>
        </row>
        <row r="427">
          <cell r="X427" t="str">
            <v>Procesor</v>
          </cell>
          <cell r="AB427">
            <v>150</v>
          </cell>
        </row>
        <row r="428">
          <cell r="X428" t="str">
            <v>Procesor</v>
          </cell>
          <cell r="AB428">
            <v>144</v>
          </cell>
        </row>
        <row r="429">
          <cell r="X429" t="str">
            <v>Procesor</v>
          </cell>
          <cell r="AB429">
            <v>238</v>
          </cell>
        </row>
        <row r="430">
          <cell r="X430" t="str">
            <v>Procesor</v>
          </cell>
          <cell r="AB430">
            <v>620</v>
          </cell>
        </row>
        <row r="431">
          <cell r="X431" t="str">
            <v>Procesor</v>
          </cell>
          <cell r="AB431">
            <v>1975</v>
          </cell>
        </row>
        <row r="432">
          <cell r="X432" t="str">
            <v>Procesor</v>
          </cell>
          <cell r="AB432">
            <v>495</v>
          </cell>
        </row>
        <row r="433">
          <cell r="X433" t="str">
            <v>Procesor</v>
          </cell>
          <cell r="AB433">
            <v>450.08</v>
          </cell>
        </row>
        <row r="434">
          <cell r="X434" t="str">
            <v>Procesor</v>
          </cell>
          <cell r="AB434">
            <v>995</v>
          </cell>
        </row>
        <row r="435">
          <cell r="X435" t="str">
            <v>Procesor</v>
          </cell>
          <cell r="AB435">
            <v>1370</v>
          </cell>
        </row>
        <row r="436">
          <cell r="X436" t="str">
            <v>Procesor</v>
          </cell>
          <cell r="AB436">
            <v>1395</v>
          </cell>
        </row>
        <row r="437">
          <cell r="X437" t="str">
            <v>Procesor</v>
          </cell>
          <cell r="AB437">
            <v>1620</v>
          </cell>
        </row>
        <row r="438">
          <cell r="X438" t="str">
            <v>Procesor</v>
          </cell>
          <cell r="AB438">
            <v>1815</v>
          </cell>
        </row>
        <row r="439">
          <cell r="X439" t="str">
            <v>Procesor</v>
          </cell>
          <cell r="AB439">
            <v>1880</v>
          </cell>
        </row>
        <row r="440">
          <cell r="X440" t="str">
            <v>Procesor</v>
          </cell>
          <cell r="AB440">
            <v>1804</v>
          </cell>
        </row>
        <row r="441">
          <cell r="X441" t="str">
            <v>Procesor</v>
          </cell>
          <cell r="AB441">
            <v>1874</v>
          </cell>
        </row>
        <row r="442">
          <cell r="X442" t="str">
            <v>Procesor</v>
          </cell>
          <cell r="AB442">
            <v>2350</v>
          </cell>
        </row>
        <row r="443">
          <cell r="X443" t="str">
            <v>Procesor</v>
          </cell>
          <cell r="AB443">
            <v>2574</v>
          </cell>
        </row>
        <row r="444">
          <cell r="X444" t="str">
            <v>Procesor</v>
          </cell>
          <cell r="AB444">
            <v>2625</v>
          </cell>
        </row>
        <row r="445">
          <cell r="X445" t="str">
            <v>Procesor</v>
          </cell>
          <cell r="AB445">
            <v>3090</v>
          </cell>
        </row>
        <row r="446">
          <cell r="X446" t="str">
            <v>Procesor</v>
          </cell>
          <cell r="AB446">
            <v>3370</v>
          </cell>
        </row>
        <row r="447">
          <cell r="X447" t="str">
            <v>Procesor</v>
          </cell>
          <cell r="AB447">
            <v>3549.2000000000003</v>
          </cell>
        </row>
        <row r="448">
          <cell r="X448" t="str">
            <v>Procesor</v>
          </cell>
          <cell r="AB448">
            <v>3740.5</v>
          </cell>
        </row>
        <row r="449">
          <cell r="X449" t="str">
            <v>Procesor</v>
          </cell>
          <cell r="AB449">
            <v>3955</v>
          </cell>
        </row>
        <row r="450">
          <cell r="X450" t="str">
            <v>Procesor</v>
          </cell>
          <cell r="AB450">
            <v>297</v>
          </cell>
        </row>
        <row r="451">
          <cell r="X451" t="str">
            <v>Procesor</v>
          </cell>
          <cell r="AB451">
            <v>534</v>
          </cell>
        </row>
        <row r="452">
          <cell r="X452" t="str">
            <v>Procesor</v>
          </cell>
          <cell r="AB452">
            <v>627</v>
          </cell>
        </row>
        <row r="453">
          <cell r="X453" t="str">
            <v>Procesor</v>
          </cell>
          <cell r="AB453">
            <v>630</v>
          </cell>
        </row>
        <row r="454">
          <cell r="X454" t="str">
            <v>Procesor</v>
          </cell>
          <cell r="AB454">
            <v>807</v>
          </cell>
        </row>
        <row r="455">
          <cell r="X455" t="str">
            <v>Procesor</v>
          </cell>
          <cell r="AB455">
            <v>825</v>
          </cell>
        </row>
        <row r="456">
          <cell r="X456" t="str">
            <v>Procesor</v>
          </cell>
          <cell r="AB456">
            <v>1236</v>
          </cell>
        </row>
        <row r="457">
          <cell r="X457" t="str">
            <v>Procesor</v>
          </cell>
          <cell r="AB457">
            <v>1785</v>
          </cell>
        </row>
        <row r="458">
          <cell r="X458" t="str">
            <v>Chladič</v>
          </cell>
          <cell r="AB458">
            <v>252</v>
          </cell>
        </row>
        <row r="459">
          <cell r="X459" t="str">
            <v>Chladič</v>
          </cell>
          <cell r="AB459">
            <v>51</v>
          </cell>
        </row>
        <row r="460">
          <cell r="X460" t="str">
            <v>Grafická karta</v>
          </cell>
          <cell r="AB460">
            <v>33</v>
          </cell>
        </row>
        <row r="461">
          <cell r="X461" t="str">
            <v>Grafická karta</v>
          </cell>
          <cell r="AB461">
            <v>35</v>
          </cell>
        </row>
        <row r="462">
          <cell r="X462" t="str">
            <v>Grafická karta</v>
          </cell>
          <cell r="AB462">
            <v>62</v>
          </cell>
        </row>
        <row r="463">
          <cell r="X463" t="str">
            <v>Grafická karta</v>
          </cell>
          <cell r="AB463">
            <v>150</v>
          </cell>
        </row>
        <row r="464">
          <cell r="X464" t="str">
            <v>Grafická karta</v>
          </cell>
          <cell r="AB464">
            <v>105</v>
          </cell>
        </row>
        <row r="465">
          <cell r="X465" t="str">
            <v>Grafická karta</v>
          </cell>
          <cell r="AB465">
            <v>58</v>
          </cell>
        </row>
        <row r="466">
          <cell r="X466" t="str">
            <v>Sieťová karta</v>
          </cell>
          <cell r="AB466">
            <v>10</v>
          </cell>
        </row>
        <row r="467">
          <cell r="X467" t="str">
            <v>Sieťová karta</v>
          </cell>
          <cell r="AB467">
            <v>28</v>
          </cell>
        </row>
        <row r="468">
          <cell r="X468" t="str">
            <v>Sieťová karta</v>
          </cell>
          <cell r="AB468">
            <v>13</v>
          </cell>
        </row>
        <row r="469">
          <cell r="X469" t="str">
            <v>Sieťová karta</v>
          </cell>
          <cell r="AB469">
            <v>10</v>
          </cell>
        </row>
        <row r="470">
          <cell r="X470" t="str">
            <v>Sieťová karta</v>
          </cell>
          <cell r="AB470">
            <v>240</v>
          </cell>
        </row>
        <row r="471">
          <cell r="X471" t="str">
            <v>Sieťová karta</v>
          </cell>
          <cell r="AB471">
            <v>550</v>
          </cell>
        </row>
        <row r="472">
          <cell r="X472" t="str">
            <v>Sieťová karta</v>
          </cell>
          <cell r="AB472">
            <v>9</v>
          </cell>
        </row>
        <row r="473">
          <cell r="X473" t="str">
            <v>Zvuková karta</v>
          </cell>
          <cell r="AB473">
            <v>44</v>
          </cell>
        </row>
        <row r="474">
          <cell r="X474" t="str">
            <v>Zvuková karta</v>
          </cell>
          <cell r="AB474">
            <v>25.5</v>
          </cell>
        </row>
        <row r="475">
          <cell r="X475" t="str">
            <v>Rozširujúca karta USB</v>
          </cell>
          <cell r="AB475">
            <v>12</v>
          </cell>
        </row>
        <row r="476">
          <cell r="X476" t="str">
            <v>RAM</v>
          </cell>
          <cell r="AB476">
            <v>155</v>
          </cell>
        </row>
        <row r="477">
          <cell r="X477" t="str">
            <v>RAM</v>
          </cell>
          <cell r="AB477">
            <v>162</v>
          </cell>
        </row>
        <row r="478">
          <cell r="X478" t="str">
            <v>RAM</v>
          </cell>
          <cell r="AB478">
            <v>480</v>
          </cell>
        </row>
        <row r="479">
          <cell r="X479" t="str">
            <v>RAM</v>
          </cell>
          <cell r="AB479">
            <v>500</v>
          </cell>
        </row>
        <row r="480">
          <cell r="X480" t="str">
            <v>RAM</v>
          </cell>
          <cell r="AB480">
            <v>390</v>
          </cell>
        </row>
        <row r="481">
          <cell r="X481" t="str">
            <v>RAM</v>
          </cell>
          <cell r="AB481">
            <v>143</v>
          </cell>
        </row>
        <row r="482">
          <cell r="X482" t="str">
            <v>RAM</v>
          </cell>
          <cell r="AB482">
            <v>160</v>
          </cell>
        </row>
        <row r="483">
          <cell r="X483" t="str">
            <v>RAM</v>
          </cell>
          <cell r="AB483">
            <v>575</v>
          </cell>
        </row>
        <row r="484">
          <cell r="X484" t="str">
            <v>RAM</v>
          </cell>
          <cell r="AB484">
            <v>745</v>
          </cell>
        </row>
        <row r="485">
          <cell r="X485" t="str">
            <v>RAM</v>
          </cell>
          <cell r="AB485">
            <v>675</v>
          </cell>
        </row>
        <row r="486">
          <cell r="X486" t="str">
            <v>RAM</v>
          </cell>
          <cell r="AB486">
            <v>695</v>
          </cell>
        </row>
        <row r="487">
          <cell r="X487" t="str">
            <v>RAM</v>
          </cell>
          <cell r="AB487">
            <v>1000</v>
          </cell>
        </row>
        <row r="488">
          <cell r="X488" t="str">
            <v>RAM</v>
          </cell>
          <cell r="AB488">
            <v>940</v>
          </cell>
        </row>
        <row r="489">
          <cell r="X489" t="str">
            <v>RAM</v>
          </cell>
          <cell r="AB489">
            <v>1348.5</v>
          </cell>
        </row>
        <row r="490">
          <cell r="X490" t="str">
            <v>RAM</v>
          </cell>
          <cell r="AB490">
            <v>134</v>
          </cell>
        </row>
        <row r="491">
          <cell r="X491" t="str">
            <v>RAM</v>
          </cell>
          <cell r="AB491">
            <v>158</v>
          </cell>
        </row>
        <row r="492">
          <cell r="X492" t="str">
            <v>RAM</v>
          </cell>
          <cell r="AB492">
            <v>375</v>
          </cell>
        </row>
        <row r="493">
          <cell r="X493" t="str">
            <v>RAM</v>
          </cell>
          <cell r="AB493">
            <v>382.5</v>
          </cell>
        </row>
        <row r="494">
          <cell r="X494" t="str">
            <v>RAM</v>
          </cell>
          <cell r="AB494">
            <v>440</v>
          </cell>
        </row>
        <row r="495">
          <cell r="X495" t="str">
            <v>RAM</v>
          </cell>
          <cell r="AB495">
            <v>460</v>
          </cell>
        </row>
        <row r="496">
          <cell r="X496" t="str">
            <v>RAM</v>
          </cell>
          <cell r="AB496">
            <v>222.4</v>
          </cell>
        </row>
        <row r="497">
          <cell r="X497" t="str">
            <v>RAM</v>
          </cell>
          <cell r="AB497">
            <v>260</v>
          </cell>
        </row>
        <row r="498">
          <cell r="X498" t="str">
            <v>RAM</v>
          </cell>
          <cell r="AB498">
            <v>485</v>
          </cell>
        </row>
        <row r="499">
          <cell r="X499" t="str">
            <v>RAM</v>
          </cell>
          <cell r="AB499">
            <v>529</v>
          </cell>
        </row>
        <row r="500">
          <cell r="X500" t="str">
            <v>RAM</v>
          </cell>
          <cell r="AB500">
            <v>955</v>
          </cell>
        </row>
        <row r="501">
          <cell r="X501" t="str">
            <v>RAM</v>
          </cell>
          <cell r="AB501">
            <v>1780</v>
          </cell>
        </row>
        <row r="502">
          <cell r="X502" t="str">
            <v>RAM</v>
          </cell>
          <cell r="AB502">
            <v>120</v>
          </cell>
        </row>
        <row r="503">
          <cell r="X503" t="str">
            <v>RAM</v>
          </cell>
          <cell r="AB503">
            <v>345</v>
          </cell>
        </row>
        <row r="504">
          <cell r="X504" t="str">
            <v>RAM</v>
          </cell>
          <cell r="AB504">
            <v>1350</v>
          </cell>
        </row>
        <row r="505">
          <cell r="X505" t="str">
            <v>RAM</v>
          </cell>
          <cell r="AB505">
            <v>176</v>
          </cell>
        </row>
        <row r="506">
          <cell r="X506" t="str">
            <v>RAM</v>
          </cell>
          <cell r="AB506">
            <v>975</v>
          </cell>
        </row>
        <row r="507">
          <cell r="X507" t="str">
            <v>RAM</v>
          </cell>
          <cell r="AB507">
            <v>620</v>
          </cell>
        </row>
        <row r="508">
          <cell r="X508" t="str">
            <v>RAM</v>
          </cell>
          <cell r="AB508">
            <v>216</v>
          </cell>
        </row>
        <row r="509">
          <cell r="X509" t="str">
            <v>RAM</v>
          </cell>
          <cell r="AB509">
            <v>468</v>
          </cell>
        </row>
        <row r="510">
          <cell r="X510" t="str">
            <v>RAM</v>
          </cell>
          <cell r="AB510">
            <v>1100</v>
          </cell>
        </row>
        <row r="511">
          <cell r="X511" t="str">
            <v>RAM</v>
          </cell>
          <cell r="AB511">
            <v>480</v>
          </cell>
        </row>
        <row r="512">
          <cell r="X512" t="str">
            <v>RAM</v>
          </cell>
          <cell r="AB512">
            <v>240</v>
          </cell>
        </row>
        <row r="513">
          <cell r="X513" t="str">
            <v>RAM</v>
          </cell>
          <cell r="AB513">
            <v>475</v>
          </cell>
        </row>
        <row r="514">
          <cell r="X514" t="str">
            <v>Server RAM</v>
          </cell>
          <cell r="AB514">
            <v>1890</v>
          </cell>
        </row>
        <row r="515">
          <cell r="X515" t="str">
            <v>Pevný disk</v>
          </cell>
          <cell r="AB515">
            <v>138.6</v>
          </cell>
        </row>
        <row r="516">
          <cell r="X516" t="str">
            <v>Pevný disk</v>
          </cell>
          <cell r="AB516">
            <v>162.04999999999998</v>
          </cell>
        </row>
        <row r="517">
          <cell r="X517" t="str">
            <v>Pevný disk</v>
          </cell>
          <cell r="AB517">
            <v>912.5</v>
          </cell>
        </row>
        <row r="518">
          <cell r="X518" t="str">
            <v>Pevný disk</v>
          </cell>
          <cell r="AB518">
            <v>887.5</v>
          </cell>
        </row>
        <row r="519">
          <cell r="X519" t="str">
            <v>Pevný disk</v>
          </cell>
          <cell r="AB519">
            <v>772.5</v>
          </cell>
        </row>
        <row r="520">
          <cell r="X520" t="str">
            <v>Pevný disk</v>
          </cell>
          <cell r="AB520">
            <v>1725</v>
          </cell>
        </row>
        <row r="521">
          <cell r="X521" t="str">
            <v>Pevný disk</v>
          </cell>
          <cell r="AB521">
            <v>855</v>
          </cell>
        </row>
        <row r="522">
          <cell r="X522" t="str">
            <v>Pevný disk</v>
          </cell>
          <cell r="AB522">
            <v>885</v>
          </cell>
        </row>
        <row r="523">
          <cell r="X523" t="str">
            <v>Pevný disk</v>
          </cell>
          <cell r="AB523">
            <v>975</v>
          </cell>
        </row>
        <row r="524">
          <cell r="X524" t="str">
            <v>Pevný disk</v>
          </cell>
          <cell r="AB524">
            <v>1335</v>
          </cell>
        </row>
        <row r="525">
          <cell r="X525" t="str">
            <v>Pevný disk</v>
          </cell>
          <cell r="AB525">
            <v>735</v>
          </cell>
        </row>
        <row r="526">
          <cell r="X526" t="str">
            <v>Pevný disk</v>
          </cell>
          <cell r="AB526">
            <v>1725</v>
          </cell>
        </row>
        <row r="527">
          <cell r="X527" t="str">
            <v>Pevný disk</v>
          </cell>
          <cell r="AB527">
            <v>1530</v>
          </cell>
        </row>
        <row r="528">
          <cell r="X528" t="str">
            <v>Pevný disk</v>
          </cell>
          <cell r="AB528">
            <v>1470</v>
          </cell>
        </row>
        <row r="529">
          <cell r="X529" t="str">
            <v>Pevný disk</v>
          </cell>
          <cell r="AB529">
            <v>1260</v>
          </cell>
        </row>
        <row r="530">
          <cell r="X530" t="str">
            <v>Pevný disk</v>
          </cell>
          <cell r="AB530">
            <v>296</v>
          </cell>
        </row>
        <row r="531">
          <cell r="X531" t="str">
            <v>Pevný disk</v>
          </cell>
          <cell r="AB531">
            <v>240</v>
          </cell>
        </row>
        <row r="532">
          <cell r="X532" t="str">
            <v>Pevný disk</v>
          </cell>
          <cell r="AB532">
            <v>472</v>
          </cell>
        </row>
        <row r="533">
          <cell r="X533" t="str">
            <v>Pevný disk</v>
          </cell>
          <cell r="AB533">
            <v>312</v>
          </cell>
        </row>
        <row r="534">
          <cell r="X534" t="str">
            <v>Pevný disk</v>
          </cell>
          <cell r="AB534">
            <v>340</v>
          </cell>
        </row>
        <row r="535">
          <cell r="X535" t="str">
            <v>Pevný disk</v>
          </cell>
          <cell r="AB535">
            <v>385</v>
          </cell>
        </row>
        <row r="536">
          <cell r="X536" t="str">
            <v>Pevný disk</v>
          </cell>
          <cell r="AB536">
            <v>380</v>
          </cell>
        </row>
        <row r="537">
          <cell r="X537" t="str">
            <v>Pevný disk</v>
          </cell>
          <cell r="AB537">
            <v>370</v>
          </cell>
        </row>
        <row r="538">
          <cell r="X538" t="str">
            <v>Pevný disk</v>
          </cell>
          <cell r="AB538">
            <v>310</v>
          </cell>
        </row>
        <row r="539">
          <cell r="X539" t="str">
            <v>Pevný disk</v>
          </cell>
          <cell r="AB539">
            <v>272.5</v>
          </cell>
        </row>
        <row r="540">
          <cell r="X540" t="str">
            <v>Pevný disk</v>
          </cell>
          <cell r="AB540">
            <v>470</v>
          </cell>
        </row>
        <row r="541">
          <cell r="X541" t="str">
            <v>Pevný disk</v>
          </cell>
          <cell r="AB541">
            <v>265</v>
          </cell>
        </row>
        <row r="542">
          <cell r="X542" t="str">
            <v>Pevný disk</v>
          </cell>
          <cell r="AB542">
            <v>745</v>
          </cell>
        </row>
        <row r="543">
          <cell r="X543" t="str">
            <v>Pevný disk</v>
          </cell>
          <cell r="AB543">
            <v>690</v>
          </cell>
        </row>
        <row r="544">
          <cell r="X544" t="str">
            <v>Pevný disk</v>
          </cell>
          <cell r="AB544">
            <v>1325</v>
          </cell>
        </row>
        <row r="545">
          <cell r="X545" t="str">
            <v>Pevný disk</v>
          </cell>
          <cell r="AB545">
            <v>937.5</v>
          </cell>
        </row>
        <row r="546">
          <cell r="X546" t="str">
            <v>Pevný disk</v>
          </cell>
          <cell r="AB546">
            <v>1350</v>
          </cell>
        </row>
        <row r="547">
          <cell r="X547" t="str">
            <v>Pevný disk</v>
          </cell>
          <cell r="AB547">
            <v>1144</v>
          </cell>
        </row>
        <row r="548">
          <cell r="X548" t="str">
            <v>Pevný disk</v>
          </cell>
          <cell r="AB548">
            <v>97.2</v>
          </cell>
        </row>
        <row r="549">
          <cell r="X549" t="str">
            <v>Pevný disk</v>
          </cell>
          <cell r="AB549">
            <v>249</v>
          </cell>
        </row>
        <row r="550">
          <cell r="X550" t="str">
            <v>Pevný disk</v>
          </cell>
          <cell r="AB550">
            <v>28.5</v>
          </cell>
        </row>
        <row r="551">
          <cell r="X551" t="str">
            <v>Pevný disk</v>
          </cell>
          <cell r="AB551">
            <v>37</v>
          </cell>
        </row>
        <row r="552">
          <cell r="X552" t="str">
            <v>Pevný disk</v>
          </cell>
          <cell r="AB552">
            <v>66.400000000000006</v>
          </cell>
        </row>
        <row r="553">
          <cell r="X553" t="str">
            <v>Pevný disk</v>
          </cell>
          <cell r="AB553">
            <v>38.4</v>
          </cell>
        </row>
        <row r="554">
          <cell r="X554" t="str">
            <v>Pevný disk</v>
          </cell>
          <cell r="AB554">
            <v>39.799999999999997</v>
          </cell>
        </row>
        <row r="555">
          <cell r="X555" t="str">
            <v>Pevný disk</v>
          </cell>
          <cell r="AB555">
            <v>43.3</v>
          </cell>
        </row>
        <row r="556">
          <cell r="X556" t="str">
            <v>Pevný disk</v>
          </cell>
          <cell r="AB556">
            <v>57</v>
          </cell>
        </row>
        <row r="557">
          <cell r="X557" t="str">
            <v>Pevný disk</v>
          </cell>
          <cell r="AB557">
            <v>61.4</v>
          </cell>
        </row>
        <row r="558">
          <cell r="X558" t="str">
            <v>Pevný disk</v>
          </cell>
          <cell r="AB558">
            <v>82</v>
          </cell>
        </row>
        <row r="559">
          <cell r="X559" t="str">
            <v>Pevný disk</v>
          </cell>
          <cell r="AB559">
            <v>109</v>
          </cell>
        </row>
        <row r="560">
          <cell r="X560" t="str">
            <v>Diskové pole</v>
          </cell>
          <cell r="AB560">
            <v>598</v>
          </cell>
        </row>
        <row r="561">
          <cell r="X561" t="str">
            <v>Diskové pole</v>
          </cell>
          <cell r="AB561">
            <v>482</v>
          </cell>
        </row>
        <row r="562">
          <cell r="X562" t="str">
            <v>Diskové pole</v>
          </cell>
          <cell r="AB562">
            <v>290</v>
          </cell>
        </row>
        <row r="563">
          <cell r="X563" t="str">
            <v>Pevný disk</v>
          </cell>
          <cell r="AB563">
            <v>97</v>
          </cell>
        </row>
        <row r="564">
          <cell r="X564" t="str">
            <v>Pevný disk</v>
          </cell>
          <cell r="AB564">
            <v>119</v>
          </cell>
        </row>
        <row r="565">
          <cell r="X565" t="str">
            <v>Pevný disk</v>
          </cell>
          <cell r="AB565">
            <v>203</v>
          </cell>
        </row>
        <row r="566">
          <cell r="X566" t="str">
            <v>Pevný disk</v>
          </cell>
          <cell r="AB566">
            <v>239</v>
          </cell>
        </row>
        <row r="567">
          <cell r="X567" t="str">
            <v>PC zdroj</v>
          </cell>
          <cell r="AB567">
            <v>360</v>
          </cell>
        </row>
        <row r="568">
          <cell r="X568" t="str">
            <v>PC zdroj</v>
          </cell>
          <cell r="AB568">
            <v>380</v>
          </cell>
        </row>
        <row r="569">
          <cell r="X569" t="str">
            <v>PC zdroj</v>
          </cell>
          <cell r="AB569">
            <v>600</v>
          </cell>
        </row>
        <row r="570">
          <cell r="X570" t="str">
            <v>PC zdroj</v>
          </cell>
          <cell r="AB570">
            <v>1175</v>
          </cell>
        </row>
        <row r="571">
          <cell r="X571" t="str">
            <v>PC zdroj</v>
          </cell>
          <cell r="AB571">
            <v>1500</v>
          </cell>
        </row>
        <row r="572">
          <cell r="X572" t="str">
            <v>PC zdroj</v>
          </cell>
          <cell r="AB572">
            <v>1300</v>
          </cell>
        </row>
        <row r="573">
          <cell r="X573" t="str">
            <v>PC zdroj</v>
          </cell>
          <cell r="AB573">
            <v>1700</v>
          </cell>
        </row>
        <row r="574">
          <cell r="X574" t="str">
            <v>PC skrinka</v>
          </cell>
          <cell r="AB574">
            <v>560</v>
          </cell>
        </row>
        <row r="575">
          <cell r="X575" t="str">
            <v>PC skrinka</v>
          </cell>
          <cell r="AB575">
            <v>712.5</v>
          </cell>
        </row>
        <row r="576">
          <cell r="X576" t="str">
            <v>Powerbanka</v>
          </cell>
          <cell r="AB576">
            <v>19.600000000000001</v>
          </cell>
        </row>
        <row r="577">
          <cell r="X577" t="str">
            <v>Univerzálny zdroj pre NB</v>
          </cell>
          <cell r="AB577">
            <v>38</v>
          </cell>
        </row>
        <row r="578">
          <cell r="X578" t="str">
            <v>Optická mechanika</v>
          </cell>
          <cell r="AB578">
            <v>325</v>
          </cell>
        </row>
        <row r="579">
          <cell r="X579" t="str">
            <v>Optická mechanika</v>
          </cell>
          <cell r="AB579">
            <v>350</v>
          </cell>
        </row>
        <row r="580">
          <cell r="X580" t="str">
            <v>Optická mechanika</v>
          </cell>
          <cell r="AB580">
            <v>1425</v>
          </cell>
        </row>
        <row r="581">
          <cell r="X581" t="str">
            <v>Optická mechanika</v>
          </cell>
          <cell r="AB581">
            <v>200</v>
          </cell>
        </row>
        <row r="582">
          <cell r="X582" t="str">
            <v>LAN kábel</v>
          </cell>
          <cell r="AB582">
            <v>116</v>
          </cell>
        </row>
        <row r="583">
          <cell r="X583" t="str">
            <v>LAN kábel</v>
          </cell>
          <cell r="AB583">
            <v>690</v>
          </cell>
        </row>
        <row r="584">
          <cell r="X584" t="str">
            <v>LAN kábel</v>
          </cell>
          <cell r="AB584">
            <v>1800</v>
          </cell>
        </row>
        <row r="585">
          <cell r="X585" t="str">
            <v>LAN kábel</v>
          </cell>
          <cell r="AB585">
            <v>2325</v>
          </cell>
        </row>
        <row r="586">
          <cell r="X586" t="str">
            <v>LAN kábel</v>
          </cell>
          <cell r="AB586">
            <v>278</v>
          </cell>
        </row>
        <row r="587">
          <cell r="X587" t="str">
            <v>LAN kábel</v>
          </cell>
          <cell r="AB587">
            <v>396</v>
          </cell>
        </row>
        <row r="588">
          <cell r="X588" t="str">
            <v>LAN kábel</v>
          </cell>
          <cell r="AB588">
            <v>735</v>
          </cell>
        </row>
        <row r="589">
          <cell r="X589" t="str">
            <v>USB kľúč</v>
          </cell>
          <cell r="AB589">
            <v>9.8000000000000007</v>
          </cell>
        </row>
        <row r="590">
          <cell r="X590" t="str">
            <v>USB kľúč</v>
          </cell>
          <cell r="AB590">
            <v>22.5</v>
          </cell>
        </row>
        <row r="591">
          <cell r="X591" t="str">
            <v>USB kľúč</v>
          </cell>
          <cell r="AB591">
            <v>9.8000000000000007</v>
          </cell>
        </row>
        <row r="592">
          <cell r="X592" t="str">
            <v>USB kľúč</v>
          </cell>
          <cell r="AB592">
            <v>17</v>
          </cell>
        </row>
        <row r="593">
          <cell r="X593" t="str">
            <v>USB kľúč</v>
          </cell>
          <cell r="AB593">
            <v>28</v>
          </cell>
        </row>
        <row r="594">
          <cell r="X594" t="str">
            <v>USB kľúč</v>
          </cell>
          <cell r="AB594">
            <v>16.8</v>
          </cell>
        </row>
        <row r="595">
          <cell r="X595" t="str">
            <v>USB hub</v>
          </cell>
          <cell r="AB595">
            <v>9</v>
          </cell>
        </row>
        <row r="596">
          <cell r="X596" t="str">
            <v>USB hub</v>
          </cell>
          <cell r="AB596">
            <v>37</v>
          </cell>
        </row>
        <row r="597">
          <cell r="X597" t="str">
            <v>USB hub</v>
          </cell>
          <cell r="AB597">
            <v>26</v>
          </cell>
        </row>
        <row r="598">
          <cell r="X598" t="str">
            <v>Patch panel</v>
          </cell>
          <cell r="AB598">
            <v>42.5</v>
          </cell>
        </row>
        <row r="599">
          <cell r="X599" t="str">
            <v>Patch panel</v>
          </cell>
          <cell r="AB599">
            <v>59</v>
          </cell>
        </row>
        <row r="600">
          <cell r="X600" t="str">
            <v>Patch panel</v>
          </cell>
          <cell r="AB600">
            <v>14.5</v>
          </cell>
        </row>
        <row r="601">
          <cell r="X601" t="str">
            <v>Patch panel</v>
          </cell>
          <cell r="AB601">
            <v>34.5</v>
          </cell>
        </row>
        <row r="602">
          <cell r="X602" t="str">
            <v>Rack</v>
          </cell>
          <cell r="AB602">
            <v>129</v>
          </cell>
        </row>
        <row r="603">
          <cell r="X603" t="str">
            <v>Rack</v>
          </cell>
          <cell r="AB603">
            <v>102</v>
          </cell>
        </row>
        <row r="604">
          <cell r="X604" t="str">
            <v>Rack</v>
          </cell>
          <cell r="AB604">
            <v>63</v>
          </cell>
        </row>
        <row r="605">
          <cell r="X605" t="str">
            <v>Rack</v>
          </cell>
          <cell r="AB605">
            <v>98</v>
          </cell>
        </row>
        <row r="606">
          <cell r="X606" t="str">
            <v>Rack</v>
          </cell>
          <cell r="AB606">
            <v>95</v>
          </cell>
        </row>
        <row r="607">
          <cell r="X607" t="str">
            <v>Rack</v>
          </cell>
          <cell r="AB607">
            <v>100.4</v>
          </cell>
        </row>
        <row r="608">
          <cell r="X608" t="str">
            <v>Rack</v>
          </cell>
          <cell r="AB608">
            <v>92.4</v>
          </cell>
        </row>
        <row r="609">
          <cell r="X609" t="str">
            <v>Rack</v>
          </cell>
          <cell r="AB609">
            <v>98.5</v>
          </cell>
        </row>
        <row r="610">
          <cell r="X610" t="str">
            <v>Rack</v>
          </cell>
          <cell r="AB610">
            <v>98.4</v>
          </cell>
        </row>
        <row r="611">
          <cell r="X611" t="str">
            <v>Rack</v>
          </cell>
          <cell r="AB611">
            <v>98.9</v>
          </cell>
        </row>
        <row r="612">
          <cell r="X612" t="str">
            <v>Rack</v>
          </cell>
          <cell r="AB612">
            <v>116</v>
          </cell>
        </row>
        <row r="613">
          <cell r="X613" t="str">
            <v>Webová kamera</v>
          </cell>
          <cell r="AB613">
            <v>497</v>
          </cell>
        </row>
        <row r="614">
          <cell r="X614" t="str">
            <v>Webová kamera</v>
          </cell>
          <cell r="AB614">
            <v>126.25</v>
          </cell>
        </row>
        <row r="615">
          <cell r="X615" t="str">
            <v>Webová kamera</v>
          </cell>
          <cell r="AB615">
            <v>1170</v>
          </cell>
        </row>
        <row r="616">
          <cell r="X616" t="str">
            <v>IP kamera</v>
          </cell>
          <cell r="AB616">
            <v>2850</v>
          </cell>
        </row>
        <row r="617">
          <cell r="X617" t="str">
            <v>IP kamera</v>
          </cell>
          <cell r="AB617">
            <v>4350</v>
          </cell>
        </row>
        <row r="618">
          <cell r="X618" t="str">
            <v>IP kamera</v>
          </cell>
          <cell r="AB618">
            <v>375</v>
          </cell>
        </row>
        <row r="619">
          <cell r="X619" t="str">
            <v>Príslušenstvo</v>
          </cell>
          <cell r="AB619">
            <v>395</v>
          </cell>
        </row>
        <row r="620">
          <cell r="X620" t="str">
            <v>Čítačka pamäťových kariet</v>
          </cell>
          <cell r="AB620">
            <v>27.6</v>
          </cell>
        </row>
        <row r="621">
          <cell r="X621" t="str">
            <v>Myš</v>
          </cell>
          <cell r="AB621">
            <v>39</v>
          </cell>
        </row>
        <row r="622">
          <cell r="X622" t="str">
            <v>Myš</v>
          </cell>
          <cell r="AB622">
            <v>60</v>
          </cell>
        </row>
        <row r="623">
          <cell r="X623" t="str">
            <v>Myš</v>
          </cell>
          <cell r="AB623">
            <v>46</v>
          </cell>
        </row>
        <row r="624">
          <cell r="X624" t="str">
            <v>Myš</v>
          </cell>
          <cell r="AB624">
            <v>72.5</v>
          </cell>
        </row>
        <row r="625">
          <cell r="X625" t="str">
            <v>Myš</v>
          </cell>
          <cell r="AB625">
            <v>198</v>
          </cell>
        </row>
        <row r="626">
          <cell r="X626" t="str">
            <v>Myš</v>
          </cell>
          <cell r="AB626">
            <v>187.5</v>
          </cell>
        </row>
        <row r="627">
          <cell r="X627" t="str">
            <v>Myš</v>
          </cell>
          <cell r="AB627">
            <v>352.5</v>
          </cell>
        </row>
        <row r="628">
          <cell r="X628" t="str">
            <v>Klávesnica</v>
          </cell>
          <cell r="AB628">
            <v>105</v>
          </cell>
        </row>
        <row r="629">
          <cell r="X629" t="str">
            <v>Klávesnica</v>
          </cell>
          <cell r="AB629">
            <v>150</v>
          </cell>
        </row>
        <row r="630">
          <cell r="X630" t="str">
            <v>Klávesnica</v>
          </cell>
          <cell r="AB630">
            <v>517.5</v>
          </cell>
        </row>
        <row r="631">
          <cell r="X631" t="str">
            <v>Klávesnica</v>
          </cell>
          <cell r="AB631">
            <v>145.6</v>
          </cell>
        </row>
        <row r="632">
          <cell r="X632" t="str">
            <v>Príslušenstvo</v>
          </cell>
          <cell r="AB632">
            <v>49</v>
          </cell>
        </row>
        <row r="633">
          <cell r="X633" t="str">
            <v>Príslušenstvo</v>
          </cell>
          <cell r="AB633">
            <v>57.5</v>
          </cell>
        </row>
        <row r="634">
          <cell r="X634" t="str">
            <v>Príslušenstvo</v>
          </cell>
          <cell r="AB634">
            <v>84.5</v>
          </cell>
        </row>
        <row r="635">
          <cell r="X635" t="str">
            <v>Príslušenstvo</v>
          </cell>
          <cell r="AB635">
            <v>62</v>
          </cell>
        </row>
        <row r="636">
          <cell r="X636" t="str">
            <v>Príslušenstvo</v>
          </cell>
          <cell r="AB636">
            <v>77.5</v>
          </cell>
        </row>
        <row r="637">
          <cell r="X637" t="str">
            <v>Príslušenstvo</v>
          </cell>
          <cell r="AB637">
            <v>87</v>
          </cell>
        </row>
        <row r="638">
          <cell r="X638" t="str">
            <v>Príslušenstvo</v>
          </cell>
          <cell r="AB638">
            <v>27.8</v>
          </cell>
        </row>
        <row r="639">
          <cell r="X639" t="str">
            <v>Príslušenstvo</v>
          </cell>
          <cell r="AB639">
            <v>36.799999999999997</v>
          </cell>
        </row>
        <row r="640">
          <cell r="X640" t="str">
            <v>Záložný zdroj</v>
          </cell>
          <cell r="AB640">
            <v>490</v>
          </cell>
        </row>
        <row r="641">
          <cell r="X641" t="str">
            <v>Záložný zdroj</v>
          </cell>
          <cell r="AB641">
            <v>9600</v>
          </cell>
        </row>
        <row r="642">
          <cell r="X642" t="str">
            <v>Záložný zdroj</v>
          </cell>
          <cell r="AB642">
            <v>18200</v>
          </cell>
        </row>
        <row r="643">
          <cell r="X643" t="str">
            <v>Akumulátor pre záložný zdroj</v>
          </cell>
          <cell r="AB643">
            <v>177.5</v>
          </cell>
        </row>
        <row r="644">
          <cell r="X644" t="str">
            <v>Akumulátor pre záložný zdroj</v>
          </cell>
          <cell r="AB644">
            <v>499</v>
          </cell>
        </row>
        <row r="645">
          <cell r="X645" t="str">
            <v>Akumulátor pre záložný zdroj</v>
          </cell>
          <cell r="AB645">
            <v>665</v>
          </cell>
        </row>
        <row r="646">
          <cell r="X646" t="str">
            <v>Čítačka čiarových kódov</v>
          </cell>
          <cell r="AB646">
            <v>89.8</v>
          </cell>
        </row>
        <row r="647">
          <cell r="X647" t="str">
            <v>LAN prepínač</v>
          </cell>
          <cell r="AB647">
            <v>56.8</v>
          </cell>
        </row>
        <row r="648">
          <cell r="X648" t="str">
            <v>Počítač</v>
          </cell>
          <cell r="AB648">
            <v>316800</v>
          </cell>
        </row>
        <row r="649">
          <cell r="X649" t="str">
            <v>Počítač</v>
          </cell>
          <cell r="AB649">
            <v>244590</v>
          </cell>
        </row>
        <row r="650">
          <cell r="X650" t="str">
            <v>Monitor</v>
          </cell>
          <cell r="AB650">
            <v>114030.39999999999</v>
          </cell>
        </row>
        <row r="651">
          <cell r="X651" t="str">
            <v>Monitor</v>
          </cell>
          <cell r="AB651">
            <v>143400</v>
          </cell>
        </row>
        <row r="652">
          <cell r="X652" t="str">
            <v>Notebook</v>
          </cell>
          <cell r="AB652">
            <v>146784.29999999999</v>
          </cell>
        </row>
        <row r="653">
          <cell r="X653" t="str">
            <v>Notebook</v>
          </cell>
          <cell r="AB653">
            <v>71615</v>
          </cell>
        </row>
        <row r="654">
          <cell r="X654" t="str">
            <v>Notebook</v>
          </cell>
          <cell r="AB654">
            <v>268444</v>
          </cell>
        </row>
        <row r="655">
          <cell r="X655" t="str">
            <v>Tablet</v>
          </cell>
          <cell r="AB655">
            <v>12408</v>
          </cell>
        </row>
        <row r="656">
          <cell r="X656" t="str">
            <v>Tablet</v>
          </cell>
          <cell r="AB656">
            <v>13534.5</v>
          </cell>
        </row>
        <row r="657">
          <cell r="X657" t="str">
            <v>Tablet</v>
          </cell>
          <cell r="AB657">
            <v>5650</v>
          </cell>
        </row>
        <row r="658">
          <cell r="X658" t="str">
            <v>Notebook</v>
          </cell>
          <cell r="AB658">
            <v>34452.600000000006</v>
          </cell>
        </row>
        <row r="659">
          <cell r="X659" t="str">
            <v>Záložný zdroj</v>
          </cell>
          <cell r="AB659">
            <v>89547.5</v>
          </cell>
        </row>
        <row r="660">
          <cell r="X660" t="str">
            <v>Záložný zdroj</v>
          </cell>
          <cell r="AB660">
            <v>1503.6</v>
          </cell>
        </row>
        <row r="661">
          <cell r="X661" t="str">
            <v>Pevný disk</v>
          </cell>
          <cell r="AB661">
            <v>15780.000000000002</v>
          </cell>
        </row>
        <row r="662">
          <cell r="X662" t="str">
            <v>Pevný disk</v>
          </cell>
          <cell r="AB662">
            <v>13940</v>
          </cell>
        </row>
        <row r="663">
          <cell r="X663" t="str">
            <v>USB kľúč</v>
          </cell>
          <cell r="AB663">
            <v>1434.9999999999998</v>
          </cell>
        </row>
        <row r="664">
          <cell r="X664" t="str">
            <v>USB kľúč</v>
          </cell>
          <cell r="AB664">
            <v>1820</v>
          </cell>
        </row>
        <row r="665">
          <cell r="X665" t="str">
            <v>USB kľúč</v>
          </cell>
          <cell r="AB665">
            <v>2910</v>
          </cell>
        </row>
        <row r="666">
          <cell r="X666" t="str">
            <v>USB kľúč</v>
          </cell>
          <cell r="AB666">
            <v>12060</v>
          </cell>
        </row>
        <row r="667">
          <cell r="X667" t="str">
            <v>Čítačka pamäťových kariet</v>
          </cell>
          <cell r="AB667">
            <v>227.5</v>
          </cell>
        </row>
        <row r="668">
          <cell r="X668" t="str">
            <v>Optická mechanika</v>
          </cell>
          <cell r="AB668">
            <v>860</v>
          </cell>
        </row>
        <row r="669">
          <cell r="X669" t="str">
            <v>Optická mechanika</v>
          </cell>
          <cell r="AB669">
            <v>105</v>
          </cell>
        </row>
        <row r="670">
          <cell r="X670" t="str">
            <v>Klávesnica</v>
          </cell>
          <cell r="AB670">
            <v>1050</v>
          </cell>
        </row>
        <row r="671">
          <cell r="X671" t="str">
            <v>Klávesnica</v>
          </cell>
          <cell r="AB671">
            <v>680</v>
          </cell>
        </row>
        <row r="672">
          <cell r="X672" t="str">
            <v>Myš</v>
          </cell>
          <cell r="AB672">
            <v>555</v>
          </cell>
        </row>
        <row r="673">
          <cell r="X673" t="str">
            <v>Myš</v>
          </cell>
          <cell r="AB673">
            <v>240</v>
          </cell>
        </row>
        <row r="674">
          <cell r="X674" t="str">
            <v>PC reproduktory</v>
          </cell>
          <cell r="AB674">
            <v>5746</v>
          </cell>
        </row>
        <row r="675">
          <cell r="X675" t="str">
            <v>PC reproduktory</v>
          </cell>
          <cell r="AB675">
            <v>2902.5</v>
          </cell>
        </row>
        <row r="676">
          <cell r="X676" t="str">
            <v>RAM</v>
          </cell>
          <cell r="AB676">
            <v>7600</v>
          </cell>
        </row>
        <row r="677">
          <cell r="X677" t="str">
            <v>Server RAM</v>
          </cell>
          <cell r="AB677">
            <v>35000</v>
          </cell>
        </row>
        <row r="678">
          <cell r="X678" t="str">
            <v>Server RAM</v>
          </cell>
          <cell r="AB678">
            <v>83700</v>
          </cell>
        </row>
        <row r="679">
          <cell r="X679" t="str">
            <v>RAM</v>
          </cell>
          <cell r="AB679">
            <v>6900</v>
          </cell>
        </row>
        <row r="680">
          <cell r="X680" t="str">
            <v>RAM</v>
          </cell>
          <cell r="AB680">
            <v>18600</v>
          </cell>
        </row>
        <row r="681">
          <cell r="X681" t="str">
            <v>RAM</v>
          </cell>
          <cell r="AB681">
            <v>47800</v>
          </cell>
        </row>
        <row r="682">
          <cell r="X682" t="str">
            <v>Pevný disk</v>
          </cell>
          <cell r="AB682">
            <v>8180</v>
          </cell>
        </row>
        <row r="683">
          <cell r="X683" t="str">
            <v>Pevný disk</v>
          </cell>
          <cell r="AB683">
            <v>60850</v>
          </cell>
        </row>
        <row r="684">
          <cell r="X684" t="str">
            <v>Ploter</v>
          </cell>
          <cell r="AB684">
            <v>41704.800000000003</v>
          </cell>
        </row>
        <row r="685">
          <cell r="X685" t="str">
            <v>Skener</v>
          </cell>
          <cell r="AB685">
            <v>8562.6</v>
          </cell>
        </row>
        <row r="686">
          <cell r="X686" t="str">
            <v>Skener</v>
          </cell>
          <cell r="AB686">
            <v>46493.15</v>
          </cell>
        </row>
        <row r="687">
          <cell r="X687" t="str">
            <v>Tlačiareň</v>
          </cell>
          <cell r="AB687">
            <v>40080</v>
          </cell>
        </row>
        <row r="688">
          <cell r="X688" t="str">
            <v>Tlačiareň</v>
          </cell>
          <cell r="AB688">
            <v>31242</v>
          </cell>
        </row>
        <row r="689">
          <cell r="X689" t="str">
            <v>Multifunkčné zariadenie</v>
          </cell>
          <cell r="AB689">
            <v>87460</v>
          </cell>
        </row>
        <row r="690">
          <cell r="X690" t="str">
            <v>Multifunkčné zariadenie</v>
          </cell>
          <cell r="AB690">
            <v>138015</v>
          </cell>
        </row>
        <row r="691">
          <cell r="X691" t="str">
            <v>Tlačiareň</v>
          </cell>
          <cell r="AB691">
            <v>10303</v>
          </cell>
        </row>
        <row r="692">
          <cell r="X692" t="str">
            <v>Multifunkčné zariadenie</v>
          </cell>
          <cell r="AB692">
            <v>39392.699999999997</v>
          </cell>
        </row>
        <row r="693">
          <cell r="X693" t="str">
            <v>Rack</v>
          </cell>
          <cell r="AB693">
            <v>7691.62</v>
          </cell>
        </row>
        <row r="694">
          <cell r="X694" t="str">
            <v>SW DataCenter Node</v>
          </cell>
          <cell r="AB694">
            <v>560476.48</v>
          </cell>
        </row>
        <row r="695">
          <cell r="X695" t="str">
            <v>Server</v>
          </cell>
          <cell r="AB695">
            <v>23951.279999999999</v>
          </cell>
        </row>
        <row r="696">
          <cell r="X696" t="str">
            <v>Zálohovacia jednotka</v>
          </cell>
          <cell r="AB696">
            <v>16327.86</v>
          </cell>
        </row>
        <row r="697">
          <cell r="X697" t="str">
            <v>Diskové pole</v>
          </cell>
          <cell r="AB697">
            <v>72567.759999999995</v>
          </cell>
        </row>
        <row r="698">
          <cell r="X698" t="str">
            <v>Príslušenstvo</v>
          </cell>
          <cell r="AB698">
            <v>4227.08</v>
          </cell>
        </row>
        <row r="699">
          <cell r="X699" t="str">
            <v>Príslušenstvo</v>
          </cell>
          <cell r="AB699">
            <v>4351.5</v>
          </cell>
        </row>
        <row r="700">
          <cell r="X700" t="str">
            <v>Jednotka distribúcie napájania</v>
          </cell>
          <cell r="AB700">
            <v>614.91999999999996</v>
          </cell>
        </row>
        <row r="701">
          <cell r="X701" t="str">
            <v>Záložný zdroj</v>
          </cell>
          <cell r="AB701">
            <v>10933.56</v>
          </cell>
        </row>
        <row r="702">
          <cell r="X702" t="str">
            <v>Pevný disk</v>
          </cell>
          <cell r="AB702">
            <v>14118.599999999999</v>
          </cell>
        </row>
        <row r="703">
          <cell r="X703" t="str">
            <v>Pevný disk</v>
          </cell>
          <cell r="AB703">
            <v>60081.780000000006</v>
          </cell>
        </row>
        <row r="704">
          <cell r="X704" t="str">
            <v>Pevný disk</v>
          </cell>
          <cell r="AB704">
            <v>12441.119999999999</v>
          </cell>
        </row>
        <row r="705">
          <cell r="X705" t="str">
            <v>Pevný disk</v>
          </cell>
          <cell r="AB705">
            <v>13871</v>
          </cell>
        </row>
        <row r="706">
          <cell r="X706" t="str">
            <v>Server RAM</v>
          </cell>
          <cell r="AB706">
            <v>9313.1999999999989</v>
          </cell>
        </row>
        <row r="707">
          <cell r="X707" t="str">
            <v>FibreChannel karta</v>
          </cell>
          <cell r="AB707">
            <v>2981.64</v>
          </cell>
        </row>
        <row r="708">
          <cell r="X708" t="str">
            <v>FibreChannel karta</v>
          </cell>
          <cell r="AB708">
            <v>4869.1499999999996</v>
          </cell>
        </row>
        <row r="709">
          <cell r="X709" t="str">
            <v>Sieťová karta</v>
          </cell>
          <cell r="AB709">
            <v>1229.8</v>
          </cell>
        </row>
        <row r="710">
          <cell r="X710" t="str">
            <v>Príslušenstvo</v>
          </cell>
          <cell r="AB710">
            <v>4537.3900000000003</v>
          </cell>
        </row>
        <row r="711">
          <cell r="X711" t="str">
            <v>Príslušenstvo</v>
          </cell>
          <cell r="AB711">
            <v>231.708</v>
          </cell>
        </row>
        <row r="712">
          <cell r="X712" t="str">
            <v>Smerovač / Firewall</v>
          </cell>
          <cell r="AB712">
            <v>81720</v>
          </cell>
        </row>
        <row r="713">
          <cell r="X713" t="str">
            <v>LAN prepínač</v>
          </cell>
          <cell r="AB713">
            <v>11342.76</v>
          </cell>
        </row>
        <row r="714">
          <cell r="X714" t="str">
            <v>LAN prepínač</v>
          </cell>
          <cell r="AB714">
            <v>10760</v>
          </cell>
        </row>
        <row r="715">
          <cell r="X715" t="str">
            <v>SAN prepínač</v>
          </cell>
          <cell r="AB715">
            <v>26400</v>
          </cell>
        </row>
        <row r="716">
          <cell r="X716" t="str">
            <v>WIFI prístupový bod</v>
          </cell>
          <cell r="AB716">
            <v>39690</v>
          </cell>
        </row>
        <row r="717">
          <cell r="X717" t="str">
            <v>Projektor</v>
          </cell>
          <cell r="AB717">
            <v>22120</v>
          </cell>
        </row>
        <row r="718">
          <cell r="X718" t="str">
            <v>LED TV</v>
          </cell>
          <cell r="AB718">
            <v>4728</v>
          </cell>
        </row>
        <row r="719">
          <cell r="X719" t="str">
            <v>LED TV</v>
          </cell>
          <cell r="AB719">
            <v>26240</v>
          </cell>
        </row>
        <row r="720">
          <cell r="X720" t="str">
            <v>Interaktívna tabuľa</v>
          </cell>
          <cell r="AB720">
            <v>84000</v>
          </cell>
        </row>
        <row r="721">
          <cell r="X721" t="str">
            <v>Mobilný telefón</v>
          </cell>
          <cell r="AB721">
            <v>4675</v>
          </cell>
        </row>
        <row r="722">
          <cell r="X722" t="str">
            <v>Mobilný telefón</v>
          </cell>
          <cell r="AB722">
            <v>5590</v>
          </cell>
        </row>
        <row r="723">
          <cell r="X723" t="str">
            <v>Mobilný telefón</v>
          </cell>
          <cell r="AB723">
            <v>60340</v>
          </cell>
        </row>
        <row r="724">
          <cell r="X724" t="str">
            <v>Skartovačka</v>
          </cell>
          <cell r="AB724">
            <v>9400</v>
          </cell>
        </row>
        <row r="725">
          <cell r="X725" t="str">
            <v>Skartovačka</v>
          </cell>
          <cell r="AB725">
            <v>1200</v>
          </cell>
        </row>
        <row r="726">
          <cell r="X726" t="str">
            <v>Server</v>
          </cell>
          <cell r="AB726">
            <v>31086</v>
          </cell>
        </row>
        <row r="727">
          <cell r="X727" t="str">
            <v>Server</v>
          </cell>
          <cell r="AB727">
            <v>261118</v>
          </cell>
        </row>
        <row r="728">
          <cell r="X728" t="str">
            <v>Server</v>
          </cell>
          <cell r="AB728">
            <v>77250</v>
          </cell>
        </row>
        <row r="729">
          <cell r="X729" t="str">
            <v>Server</v>
          </cell>
          <cell r="AB729">
            <v>44784.6</v>
          </cell>
        </row>
        <row r="730">
          <cell r="X730" t="str">
            <v>Server</v>
          </cell>
          <cell r="AB730">
            <v>254062.5</v>
          </cell>
        </row>
        <row r="731">
          <cell r="X731" t="str">
            <v>Server</v>
          </cell>
          <cell r="AB731">
            <v>242840</v>
          </cell>
        </row>
        <row r="732">
          <cell r="X732" t="str">
            <v>Server</v>
          </cell>
          <cell r="AB732">
            <v>7551.7</v>
          </cell>
        </row>
        <row r="733">
          <cell r="X733" t="str">
            <v>Server</v>
          </cell>
          <cell r="AB733">
            <v>21956</v>
          </cell>
        </row>
        <row r="734">
          <cell r="X734" t="str">
            <v>Server</v>
          </cell>
          <cell r="AB734">
            <v>22480</v>
          </cell>
        </row>
        <row r="735">
          <cell r="X735" t="str">
            <v>SAN prepínač</v>
          </cell>
          <cell r="AB735">
            <v>145600</v>
          </cell>
        </row>
        <row r="736">
          <cell r="X736" t="str">
            <v>SAN prepínač</v>
          </cell>
          <cell r="AB736">
            <v>23200</v>
          </cell>
        </row>
        <row r="737">
          <cell r="X737" t="str">
            <v>Diskové pole</v>
          </cell>
          <cell r="AB737">
            <v>105234</v>
          </cell>
        </row>
        <row r="738">
          <cell r="X738" t="str">
            <v>Príslušenstvo</v>
          </cell>
          <cell r="AB738">
            <v>47920</v>
          </cell>
        </row>
        <row r="739">
          <cell r="X739" t="str">
            <v>Príslušenstvo</v>
          </cell>
          <cell r="AB739">
            <v>23200</v>
          </cell>
        </row>
        <row r="740">
          <cell r="X740" t="str">
            <v>Diskové pole</v>
          </cell>
          <cell r="AB740">
            <v>572000</v>
          </cell>
        </row>
        <row r="741">
          <cell r="X741" t="str">
            <v>Príslušenstvo</v>
          </cell>
          <cell r="AB741">
            <v>133600</v>
          </cell>
        </row>
        <row r="742">
          <cell r="X742" t="str">
            <v>Príslušenstvo</v>
          </cell>
          <cell r="AB742">
            <v>111200</v>
          </cell>
        </row>
        <row r="743">
          <cell r="X743" t="str">
            <v>Zálohovacia jednotka</v>
          </cell>
          <cell r="AB743">
            <v>21275.86</v>
          </cell>
        </row>
        <row r="744">
          <cell r="X744" t="str">
            <v>Príslušenstvo</v>
          </cell>
          <cell r="AB744">
            <v>9964.23</v>
          </cell>
        </row>
        <row r="745">
          <cell r="X745" t="str">
            <v>Rack</v>
          </cell>
          <cell r="AB745">
            <v>3000</v>
          </cell>
        </row>
        <row r="746">
          <cell r="X746" t="str">
            <v>Počítač</v>
          </cell>
          <cell r="AB746">
            <v>276930</v>
          </cell>
        </row>
        <row r="747">
          <cell r="X747" t="str">
            <v>Počítač</v>
          </cell>
          <cell r="AB747">
            <v>50240</v>
          </cell>
        </row>
        <row r="748">
          <cell r="X748" t="str">
            <v>Počítač</v>
          </cell>
          <cell r="AB748">
            <v>11480</v>
          </cell>
        </row>
        <row r="749">
          <cell r="X749" t="str">
            <v>Počítač</v>
          </cell>
          <cell r="AB749">
            <v>9706</v>
          </cell>
        </row>
        <row r="750">
          <cell r="X750" t="str">
            <v>Počítač</v>
          </cell>
          <cell r="AB750">
            <v>36485.799999999996</v>
          </cell>
        </row>
        <row r="751">
          <cell r="X751" t="str">
            <v>Počítač</v>
          </cell>
          <cell r="AB751">
            <v>12090</v>
          </cell>
        </row>
        <row r="752">
          <cell r="X752" t="str">
            <v>Notebook</v>
          </cell>
          <cell r="AB752">
            <v>183997.8</v>
          </cell>
        </row>
        <row r="753">
          <cell r="X753" t="str">
            <v>Notebook</v>
          </cell>
          <cell r="AB753">
            <v>8661.44</v>
          </cell>
        </row>
        <row r="754">
          <cell r="X754" t="str">
            <v>Notebook</v>
          </cell>
          <cell r="AB754">
            <v>9013.2800000000007</v>
          </cell>
        </row>
        <row r="755">
          <cell r="X755" t="str">
            <v>Notebook</v>
          </cell>
          <cell r="AB755">
            <v>4700</v>
          </cell>
        </row>
        <row r="756">
          <cell r="X756" t="str">
            <v>Monitor</v>
          </cell>
          <cell r="AB756">
            <v>27060</v>
          </cell>
        </row>
        <row r="757">
          <cell r="X757" t="str">
            <v>Monitor</v>
          </cell>
          <cell r="AB757">
            <v>43210</v>
          </cell>
        </row>
        <row r="758">
          <cell r="X758" t="str">
            <v>Monitor</v>
          </cell>
          <cell r="AB758">
            <v>39000</v>
          </cell>
        </row>
        <row r="759">
          <cell r="X759" t="str">
            <v>Monitor</v>
          </cell>
          <cell r="AB759">
            <v>1600</v>
          </cell>
        </row>
        <row r="760">
          <cell r="X760" t="str">
            <v>Monitor</v>
          </cell>
          <cell r="AB760">
            <v>4600</v>
          </cell>
        </row>
        <row r="761">
          <cell r="X761" t="str">
            <v>Monitor</v>
          </cell>
          <cell r="AB761">
            <v>3536</v>
          </cell>
        </row>
        <row r="762">
          <cell r="X762" t="str">
            <v>Monitor</v>
          </cell>
          <cell r="AB762">
            <v>4950</v>
          </cell>
        </row>
        <row r="763">
          <cell r="X763" t="str">
            <v>Monitor</v>
          </cell>
          <cell r="AB763">
            <v>950</v>
          </cell>
        </row>
        <row r="764">
          <cell r="X764" t="str">
            <v>Monitor</v>
          </cell>
          <cell r="AB764">
            <v>400</v>
          </cell>
        </row>
        <row r="765">
          <cell r="X765" t="str">
            <v>Monitor</v>
          </cell>
          <cell r="AB765">
            <v>480</v>
          </cell>
        </row>
        <row r="766">
          <cell r="X766" t="str">
            <v>Projektor</v>
          </cell>
          <cell r="AB766">
            <v>4350</v>
          </cell>
        </row>
        <row r="767">
          <cell r="X767" t="str">
            <v>Tlačiareň</v>
          </cell>
          <cell r="AB767">
            <v>28125</v>
          </cell>
        </row>
        <row r="768">
          <cell r="X768" t="str">
            <v>Tlačiareň</v>
          </cell>
          <cell r="AB768">
            <v>2826</v>
          </cell>
        </row>
        <row r="769">
          <cell r="X769" t="str">
            <v>Tlačiareň</v>
          </cell>
          <cell r="AB769">
            <v>22264</v>
          </cell>
        </row>
        <row r="770">
          <cell r="X770" t="str">
            <v>Multifunkčné zariadenie</v>
          </cell>
          <cell r="AB770">
            <v>5600</v>
          </cell>
        </row>
        <row r="771">
          <cell r="X771" t="str">
            <v>Multifunkčné zariadenie</v>
          </cell>
          <cell r="AB771">
            <v>6944</v>
          </cell>
        </row>
        <row r="772">
          <cell r="X772" t="str">
            <v>Multifunkčné zariadenie</v>
          </cell>
          <cell r="AB772">
            <v>40536</v>
          </cell>
        </row>
        <row r="773">
          <cell r="X773" t="str">
            <v>Multifunkčné zariadenie</v>
          </cell>
          <cell r="AB773">
            <v>2506.39</v>
          </cell>
        </row>
        <row r="774">
          <cell r="X774" t="str">
            <v>Multifunkčné zariadenie</v>
          </cell>
          <cell r="AB774">
            <v>1967</v>
          </cell>
        </row>
        <row r="775">
          <cell r="X775" t="str">
            <v>Ploter</v>
          </cell>
          <cell r="AB775">
            <v>11000</v>
          </cell>
        </row>
        <row r="776">
          <cell r="X776" t="str">
            <v>Tlačiareň</v>
          </cell>
          <cell r="AB776">
            <v>2400</v>
          </cell>
        </row>
        <row r="777">
          <cell r="X777" t="str">
            <v>LAN prepínač</v>
          </cell>
          <cell r="AB777">
            <v>159800</v>
          </cell>
        </row>
        <row r="778">
          <cell r="X778" t="str">
            <v>LAN prepínač</v>
          </cell>
          <cell r="AB778">
            <v>182195.83333333334</v>
          </cell>
        </row>
        <row r="779">
          <cell r="X779" t="str">
            <v>LAN prepínač</v>
          </cell>
          <cell r="AB779">
            <v>32025</v>
          </cell>
        </row>
        <row r="780">
          <cell r="X780" t="str">
            <v>LAN prepínač</v>
          </cell>
          <cell r="AB780">
            <v>24466.666666666672</v>
          </cell>
        </row>
        <row r="781">
          <cell r="X781" t="str">
            <v>LAN prepínač</v>
          </cell>
          <cell r="AB781">
            <v>45879.166666666672</v>
          </cell>
        </row>
        <row r="782">
          <cell r="X782" t="str">
            <v>LAN prepínač</v>
          </cell>
          <cell r="AB782">
            <v>36240</v>
          </cell>
        </row>
        <row r="783">
          <cell r="X783" t="str">
            <v>LAN prepínač</v>
          </cell>
          <cell r="AB783">
            <v>9386.6666666666679</v>
          </cell>
        </row>
        <row r="784">
          <cell r="X784" t="str">
            <v>LAN prepínač</v>
          </cell>
          <cell r="AB784">
            <v>14630</v>
          </cell>
        </row>
        <row r="785">
          <cell r="X785" t="str">
            <v>LAN prepínač</v>
          </cell>
          <cell r="AB785">
            <v>10285</v>
          </cell>
        </row>
        <row r="786">
          <cell r="X786" t="str">
            <v>LAN prepínač</v>
          </cell>
          <cell r="AB786">
            <v>3350</v>
          </cell>
        </row>
        <row r="787">
          <cell r="X787" t="str">
            <v>LAN prepínač</v>
          </cell>
          <cell r="AB787">
            <v>5083.3333333333339</v>
          </cell>
        </row>
        <row r="788">
          <cell r="X788" t="str">
            <v>Modulárny LAN prepínač + smerovač</v>
          </cell>
          <cell r="AB788">
            <v>388366.66666666674</v>
          </cell>
        </row>
        <row r="789">
          <cell r="X789" t="str">
            <v>Modulárny LAN prepínač + smerovač</v>
          </cell>
          <cell r="AB789">
            <v>264636.66666666669</v>
          </cell>
        </row>
        <row r="790">
          <cell r="X790" t="str">
            <v>IP telefón</v>
          </cell>
          <cell r="AB790">
            <v>24000</v>
          </cell>
        </row>
        <row r="791">
          <cell r="X791" t="str">
            <v>IP telefón</v>
          </cell>
          <cell r="AB791">
            <v>21035</v>
          </cell>
        </row>
        <row r="792">
          <cell r="X792" t="str">
            <v>IP telefón</v>
          </cell>
          <cell r="AB792">
            <v>23250.000000000004</v>
          </cell>
        </row>
        <row r="793">
          <cell r="X793" t="str">
            <v>Videokonferenčné zariadenie</v>
          </cell>
          <cell r="AB793">
            <v>41716.666666666672</v>
          </cell>
        </row>
        <row r="794">
          <cell r="X794" t="str">
            <v>Videokonferenčné zariadenie</v>
          </cell>
          <cell r="AB794">
            <v>93570.000000000015</v>
          </cell>
        </row>
        <row r="795">
          <cell r="X795" t="str">
            <v>Videokonferenčné zariadenie</v>
          </cell>
          <cell r="AB795">
            <v>203700.00000000003</v>
          </cell>
        </row>
        <row r="796">
          <cell r="X796" t="str">
            <v>Videokonferenčné zariadenie</v>
          </cell>
          <cell r="AB796">
            <v>353990</v>
          </cell>
        </row>
        <row r="797">
          <cell r="X797" t="str">
            <v>Videokonferenčné zariadenie</v>
          </cell>
          <cell r="AB797">
            <v>246004.16666666669</v>
          </cell>
        </row>
        <row r="798">
          <cell r="X798" t="str">
            <v>IP kamera</v>
          </cell>
          <cell r="AB798">
            <v>101500</v>
          </cell>
        </row>
        <row r="799">
          <cell r="X799" t="str">
            <v>WIFI prístupový bod</v>
          </cell>
          <cell r="AB799">
            <v>81466.666666666672</v>
          </cell>
        </row>
        <row r="800">
          <cell r="X800" t="str">
            <v>WIFI prístupový bod</v>
          </cell>
          <cell r="AB800">
            <v>22983.333333333336</v>
          </cell>
        </row>
        <row r="801">
          <cell r="X801" t="str">
            <v>Tablet</v>
          </cell>
          <cell r="AB801">
            <v>3075</v>
          </cell>
        </row>
        <row r="802">
          <cell r="X802" t="str">
            <v>Tablet</v>
          </cell>
          <cell r="AB802">
            <v>4512.5</v>
          </cell>
        </row>
        <row r="803">
          <cell r="X803" t="str">
            <v>Tablet</v>
          </cell>
          <cell r="AB803">
            <v>19366.666666666668</v>
          </cell>
        </row>
        <row r="804">
          <cell r="X804" t="str">
            <v>Tablet</v>
          </cell>
          <cell r="AB804">
            <v>53550</v>
          </cell>
        </row>
        <row r="805">
          <cell r="X805" t="str">
            <v>Počítač</v>
          </cell>
          <cell r="AB805">
            <v>14693.333333333334</v>
          </cell>
        </row>
        <row r="806">
          <cell r="X806" t="str">
            <v>Počítač</v>
          </cell>
          <cell r="AB806">
            <v>25600</v>
          </cell>
        </row>
        <row r="807">
          <cell r="X807" t="str">
            <v>Počítač</v>
          </cell>
          <cell r="AB807">
            <v>70700</v>
          </cell>
        </row>
        <row r="808">
          <cell r="X808" t="str">
            <v>Počítač</v>
          </cell>
          <cell r="AB808">
            <v>130941.66666666669</v>
          </cell>
        </row>
        <row r="809">
          <cell r="X809" t="str">
            <v>Počítač</v>
          </cell>
          <cell r="AB809">
            <v>22000</v>
          </cell>
        </row>
        <row r="810">
          <cell r="X810" t="str">
            <v>Počítač</v>
          </cell>
          <cell r="AB810">
            <v>49266.666666666672</v>
          </cell>
        </row>
        <row r="811">
          <cell r="X811" t="str">
            <v>Počítač</v>
          </cell>
          <cell r="AB811">
            <v>22650</v>
          </cell>
        </row>
        <row r="812">
          <cell r="X812" t="str">
            <v>Počítač</v>
          </cell>
          <cell r="AB812">
            <v>31500</v>
          </cell>
        </row>
        <row r="813">
          <cell r="X813" t="str">
            <v>Počítač</v>
          </cell>
          <cell r="AB813">
            <v>90187.5</v>
          </cell>
        </row>
        <row r="814">
          <cell r="X814" t="str">
            <v>Počítač</v>
          </cell>
          <cell r="AB814">
            <v>149250</v>
          </cell>
        </row>
        <row r="815">
          <cell r="X815" t="str">
            <v>Počítač</v>
          </cell>
          <cell r="AB815">
            <v>125536.66666666669</v>
          </cell>
        </row>
        <row r="816">
          <cell r="X816" t="str">
            <v>Počítač</v>
          </cell>
          <cell r="AB816">
            <v>41603.333333333336</v>
          </cell>
        </row>
        <row r="817">
          <cell r="X817" t="str">
            <v>Počítač</v>
          </cell>
          <cell r="AB817">
            <v>66510</v>
          </cell>
        </row>
        <row r="818">
          <cell r="X818" t="str">
            <v>Monitor</v>
          </cell>
          <cell r="AB818">
            <v>24600</v>
          </cell>
        </row>
        <row r="819">
          <cell r="X819" t="str">
            <v>Monitor</v>
          </cell>
          <cell r="AB819">
            <v>12775</v>
          </cell>
        </row>
        <row r="820">
          <cell r="X820" t="str">
            <v>Monitor</v>
          </cell>
          <cell r="AB820">
            <v>5333.3333333333339</v>
          </cell>
        </row>
        <row r="821">
          <cell r="X821" t="str">
            <v>Monitor</v>
          </cell>
          <cell r="AB821">
            <v>11050.000000000002</v>
          </cell>
        </row>
        <row r="822">
          <cell r="X822" t="str">
            <v>Monitor</v>
          </cell>
          <cell r="AB822">
            <v>15250.000000000002</v>
          </cell>
        </row>
        <row r="823">
          <cell r="X823" t="str">
            <v>Monitor</v>
          </cell>
          <cell r="AB823">
            <v>5906.666666666667</v>
          </cell>
        </row>
        <row r="824">
          <cell r="X824" t="str">
            <v>Server</v>
          </cell>
          <cell r="AB824">
            <v>34316.666666666672</v>
          </cell>
        </row>
        <row r="825">
          <cell r="X825" t="str">
            <v>Server</v>
          </cell>
          <cell r="AB825">
            <v>43850</v>
          </cell>
        </row>
        <row r="826">
          <cell r="X826" t="str">
            <v>Server</v>
          </cell>
          <cell r="AB826">
            <v>77600.000000000015</v>
          </cell>
        </row>
        <row r="827">
          <cell r="X827" t="str">
            <v>Server</v>
          </cell>
          <cell r="AB827">
            <v>62815</v>
          </cell>
        </row>
        <row r="828">
          <cell r="X828" t="str">
            <v>Server</v>
          </cell>
          <cell r="AB828">
            <v>69837.500000000015</v>
          </cell>
        </row>
        <row r="829">
          <cell r="X829" t="str">
            <v>Server</v>
          </cell>
          <cell r="AB829">
            <v>49350</v>
          </cell>
        </row>
        <row r="830">
          <cell r="X830" t="str">
            <v>Server</v>
          </cell>
          <cell r="AB830">
            <v>90465.000000000015</v>
          </cell>
        </row>
        <row r="831">
          <cell r="X831" t="str">
            <v>Server</v>
          </cell>
          <cell r="AB831">
            <v>261045</v>
          </cell>
        </row>
        <row r="832">
          <cell r="X832" t="str">
            <v>Notebook</v>
          </cell>
          <cell r="AB832">
            <v>20400</v>
          </cell>
        </row>
        <row r="833">
          <cell r="X833" t="str">
            <v>Notebook</v>
          </cell>
          <cell r="AB833">
            <v>20400</v>
          </cell>
        </row>
        <row r="834">
          <cell r="X834" t="str">
            <v>Notebook</v>
          </cell>
          <cell r="AB834">
            <v>29050</v>
          </cell>
        </row>
        <row r="835">
          <cell r="X835" t="str">
            <v>Notebook</v>
          </cell>
          <cell r="AB835">
            <v>47991.666666666672</v>
          </cell>
        </row>
        <row r="836">
          <cell r="X836" t="str">
            <v>Notebook</v>
          </cell>
          <cell r="AB836">
            <v>80887.500000000015</v>
          </cell>
        </row>
        <row r="837">
          <cell r="X837" t="str">
            <v>Notebook</v>
          </cell>
          <cell r="AB837">
            <v>51200</v>
          </cell>
        </row>
        <row r="838">
          <cell r="X838" t="str">
            <v>Notebook</v>
          </cell>
          <cell r="AB838">
            <v>41058.333333333336</v>
          </cell>
        </row>
        <row r="839">
          <cell r="X839" t="str">
            <v>Notebook</v>
          </cell>
          <cell r="AB839">
            <v>39150</v>
          </cell>
        </row>
        <row r="840">
          <cell r="X840" t="str">
            <v>Notebook</v>
          </cell>
          <cell r="AB840">
            <v>53460</v>
          </cell>
        </row>
        <row r="841">
          <cell r="X841" t="str">
            <v>Notebook</v>
          </cell>
          <cell r="AB841">
            <v>40500</v>
          </cell>
        </row>
        <row r="842">
          <cell r="X842" t="str">
            <v>Ploter</v>
          </cell>
          <cell r="AB842">
            <v>6898.3333333333339</v>
          </cell>
        </row>
        <row r="843">
          <cell r="X843" t="str">
            <v>Ploter</v>
          </cell>
          <cell r="AB843">
            <v>2710</v>
          </cell>
        </row>
        <row r="844">
          <cell r="X844" t="str">
            <v>Tlačiareň</v>
          </cell>
          <cell r="AB844">
            <v>2700</v>
          </cell>
        </row>
        <row r="845">
          <cell r="X845" t="str">
            <v>Tlačiareň</v>
          </cell>
          <cell r="AB845">
            <v>2654.166666666667</v>
          </cell>
        </row>
        <row r="846">
          <cell r="X846" t="str">
            <v>Tlačiareň</v>
          </cell>
          <cell r="AB846">
            <v>5390</v>
          </cell>
        </row>
        <row r="847">
          <cell r="X847" t="str">
            <v>Tlačiareň</v>
          </cell>
          <cell r="AB847">
            <v>43333.333333333343</v>
          </cell>
        </row>
        <row r="848">
          <cell r="X848" t="str">
            <v>Tlačiareň</v>
          </cell>
          <cell r="AB848">
            <v>32516.666666666672</v>
          </cell>
        </row>
        <row r="849">
          <cell r="X849" t="str">
            <v>Multifunkčné zariadenie</v>
          </cell>
          <cell r="AB849">
            <v>37858.333333333336</v>
          </cell>
        </row>
        <row r="850">
          <cell r="X850" t="str">
            <v>Multifunkčné zariadenie</v>
          </cell>
          <cell r="AB850">
            <v>7866.6666666666679</v>
          </cell>
        </row>
        <row r="851">
          <cell r="X851" t="str">
            <v>Multifunkčné zariadenie</v>
          </cell>
          <cell r="AB851">
            <v>14666.666666666668</v>
          </cell>
        </row>
        <row r="852">
          <cell r="X852" t="str">
            <v>3D tlačiareň</v>
          </cell>
          <cell r="AB852">
            <v>10837.5</v>
          </cell>
        </row>
        <row r="853">
          <cell r="X853" t="str">
            <v>3D tlačiareň</v>
          </cell>
          <cell r="AB853">
            <v>14037.5</v>
          </cell>
        </row>
        <row r="854">
          <cell r="X854" t="str">
            <v>3D tlačiareň</v>
          </cell>
          <cell r="AB854">
            <v>58512.5</v>
          </cell>
        </row>
        <row r="855">
          <cell r="X855" t="str">
            <v>3D tlačiareň</v>
          </cell>
          <cell r="AB855">
            <v>93375</v>
          </cell>
        </row>
        <row r="856">
          <cell r="X856" t="str">
            <v>Projektor</v>
          </cell>
          <cell r="AB856">
            <v>4175.0000000000009</v>
          </cell>
        </row>
        <row r="857">
          <cell r="X857" t="str">
            <v>Projektor</v>
          </cell>
          <cell r="AB857">
            <v>12050</v>
          </cell>
        </row>
        <row r="858">
          <cell r="X858" t="str">
            <v>Projektor</v>
          </cell>
          <cell r="AB858">
            <v>24020.833333333336</v>
          </cell>
        </row>
        <row r="859">
          <cell r="X859" t="str">
            <v>Projektor</v>
          </cell>
          <cell r="AB859">
            <v>144013.33333333334</v>
          </cell>
        </row>
        <row r="860">
          <cell r="X860" t="str">
            <v>Veľkoplošný displej</v>
          </cell>
          <cell r="AB860">
            <v>71358.333333333343</v>
          </cell>
        </row>
        <row r="861">
          <cell r="X861" t="str">
            <v>Polohovací tablet</v>
          </cell>
          <cell r="AB861">
            <v>5133.3333333333339</v>
          </cell>
        </row>
        <row r="862">
          <cell r="X862" t="str">
            <v>Polohovací tablet</v>
          </cell>
          <cell r="AB862">
            <v>7375</v>
          </cell>
        </row>
        <row r="863">
          <cell r="X863" t="str">
            <v>Polohovací tablet</v>
          </cell>
          <cell r="AB863">
            <v>14750</v>
          </cell>
        </row>
        <row r="864">
          <cell r="X864" t="str">
            <v>Polohovací tablet</v>
          </cell>
          <cell r="AB864">
            <v>24675</v>
          </cell>
        </row>
        <row r="865">
          <cell r="X865" t="str">
            <v>VR okuliare</v>
          </cell>
          <cell r="AB865">
            <v>8737.5</v>
          </cell>
        </row>
        <row r="866">
          <cell r="X866" t="str">
            <v>VR okuliare</v>
          </cell>
          <cell r="AB866">
            <v>9112.5</v>
          </cell>
        </row>
        <row r="867">
          <cell r="X867" t="str">
            <v>VR okuliare</v>
          </cell>
          <cell r="AB867">
            <v>14287.5</v>
          </cell>
        </row>
        <row r="868">
          <cell r="X868" t="str">
            <v>VR okuliare</v>
          </cell>
          <cell r="AB868">
            <v>17112.500000000004</v>
          </cell>
        </row>
        <row r="869">
          <cell r="X869" t="str">
            <v>RAM</v>
          </cell>
          <cell r="AB869">
            <v>2493.3333333333335</v>
          </cell>
        </row>
        <row r="870">
          <cell r="X870" t="str">
            <v>RAM</v>
          </cell>
          <cell r="AB870">
            <v>8525</v>
          </cell>
        </row>
        <row r="871">
          <cell r="X871" t="str">
            <v>RAM</v>
          </cell>
          <cell r="AB871">
            <v>3000</v>
          </cell>
        </row>
        <row r="872">
          <cell r="X872" t="str">
            <v>RAM</v>
          </cell>
          <cell r="AB872">
            <v>5366.666666666667</v>
          </cell>
        </row>
        <row r="873">
          <cell r="X873" t="str">
            <v>Pevný disk</v>
          </cell>
          <cell r="AB873">
            <v>4600</v>
          </cell>
        </row>
        <row r="874">
          <cell r="X874" t="str">
            <v>Pevný disk</v>
          </cell>
          <cell r="AB874">
            <v>10325.000000000002</v>
          </cell>
        </row>
        <row r="875">
          <cell r="X875" t="str">
            <v>Pevný disk</v>
          </cell>
          <cell r="AB875">
            <v>14250</v>
          </cell>
        </row>
        <row r="876">
          <cell r="X876" t="str">
            <v>Pevný disk</v>
          </cell>
          <cell r="AB876">
            <v>21712.5</v>
          </cell>
        </row>
        <row r="877">
          <cell r="X877" t="str">
            <v>Pevný disk</v>
          </cell>
          <cell r="AB877">
            <v>19337.500000000004</v>
          </cell>
        </row>
        <row r="878">
          <cell r="X878" t="str">
            <v>Pevný disk</v>
          </cell>
          <cell r="AB878">
            <v>1648.3333333333335</v>
          </cell>
        </row>
        <row r="879">
          <cell r="X879" t="str">
            <v>Pevný disk</v>
          </cell>
          <cell r="AB879">
            <v>1970.8333333333335</v>
          </cell>
        </row>
        <row r="880">
          <cell r="X880" t="str">
            <v>Pevný disk</v>
          </cell>
          <cell r="AB880">
            <v>4187.5</v>
          </cell>
        </row>
        <row r="881">
          <cell r="X881" t="str">
            <v>Pevný disk</v>
          </cell>
          <cell r="AB881">
            <v>1813.3333333333335</v>
          </cell>
        </row>
        <row r="882">
          <cell r="X882" t="str">
            <v>Pevný disk</v>
          </cell>
          <cell r="AB882">
            <v>2465</v>
          </cell>
        </row>
        <row r="883">
          <cell r="X883" t="str">
            <v>PC zdroj</v>
          </cell>
          <cell r="AB883">
            <v>1837.5</v>
          </cell>
        </row>
        <row r="884">
          <cell r="X884" t="str">
            <v>PC zdroj</v>
          </cell>
          <cell r="AB884">
            <v>3539.166666666667</v>
          </cell>
        </row>
        <row r="885">
          <cell r="X885" t="str">
            <v>PC zdroj</v>
          </cell>
          <cell r="AB885">
            <v>2750.0000000000005</v>
          </cell>
        </row>
        <row r="886">
          <cell r="X886" t="str">
            <v>Integrované technol. zariadenie</v>
          </cell>
          <cell r="AB886">
            <v>466245.2</v>
          </cell>
        </row>
        <row r="887">
          <cell r="X887" t="str">
            <v>Integrované technol. zariadenie</v>
          </cell>
          <cell r="AB887">
            <v>369765.2</v>
          </cell>
        </row>
        <row r="888">
          <cell r="X888" t="str">
            <v>Počítač</v>
          </cell>
          <cell r="AB888">
            <v>9489</v>
          </cell>
        </row>
        <row r="889">
          <cell r="X889" t="str">
            <v>Počítač</v>
          </cell>
          <cell r="AB889">
            <v>6514</v>
          </cell>
        </row>
        <row r="890">
          <cell r="X890" t="str">
            <v>Počítač</v>
          </cell>
          <cell r="AB890">
            <v>10242</v>
          </cell>
        </row>
        <row r="891">
          <cell r="X891" t="str">
            <v>Notebook</v>
          </cell>
          <cell r="AB891">
            <v>12168</v>
          </cell>
        </row>
        <row r="892">
          <cell r="X892" t="str">
            <v>Notebook</v>
          </cell>
          <cell r="AB892">
            <v>88207.400000000009</v>
          </cell>
        </row>
        <row r="893">
          <cell r="X893" t="str">
            <v>Notebook</v>
          </cell>
          <cell r="AB893">
            <v>9033</v>
          </cell>
        </row>
        <row r="894">
          <cell r="X894" t="str">
            <v>Monitor</v>
          </cell>
          <cell r="AB894">
            <v>10956</v>
          </cell>
        </row>
        <row r="895">
          <cell r="X895" t="str">
            <v>Monitor</v>
          </cell>
          <cell r="AB895">
            <v>3223</v>
          </cell>
        </row>
        <row r="896">
          <cell r="X896" t="str">
            <v>Multifunkčné zariadenie</v>
          </cell>
          <cell r="AB896">
            <v>2534</v>
          </cell>
        </row>
        <row r="897">
          <cell r="X897" t="str">
            <v>Multifunkčné zariadenie</v>
          </cell>
          <cell r="AB897">
            <v>1045</v>
          </cell>
        </row>
        <row r="898">
          <cell r="X898" t="str">
            <v>3D tlačiareň</v>
          </cell>
          <cell r="AB898">
            <v>2184</v>
          </cell>
        </row>
        <row r="899">
          <cell r="X899" t="str">
            <v>Skener</v>
          </cell>
          <cell r="AB899">
            <v>594</v>
          </cell>
        </row>
        <row r="900">
          <cell r="X900" t="str">
            <v>Záložný zdroj</v>
          </cell>
          <cell r="AB900">
            <v>6675</v>
          </cell>
        </row>
        <row r="901">
          <cell r="X901" t="str">
            <v>Pevný disk</v>
          </cell>
          <cell r="AB901">
            <v>2856</v>
          </cell>
        </row>
        <row r="902">
          <cell r="X902" t="str">
            <v>Diskové pole</v>
          </cell>
          <cell r="AB902">
            <v>8510</v>
          </cell>
        </row>
        <row r="903">
          <cell r="X903" t="str">
            <v>Optická mechanika</v>
          </cell>
          <cell r="AB903">
            <v>32</v>
          </cell>
        </row>
        <row r="904">
          <cell r="X904" t="str">
            <v>Myš</v>
          </cell>
          <cell r="AB904">
            <v>82</v>
          </cell>
        </row>
        <row r="905">
          <cell r="X905" t="str">
            <v>Klávesnica</v>
          </cell>
          <cell r="AB905">
            <v>164</v>
          </cell>
        </row>
        <row r="906">
          <cell r="X906" t="str">
            <v>Jednodoskový počítač</v>
          </cell>
          <cell r="AB906">
            <v>1110</v>
          </cell>
        </row>
        <row r="907">
          <cell r="X907" t="str">
            <v>Pamäťová karta</v>
          </cell>
          <cell r="AB907">
            <v>60</v>
          </cell>
        </row>
        <row r="908">
          <cell r="X908" t="str">
            <v>USB hub</v>
          </cell>
          <cell r="AB908">
            <v>300</v>
          </cell>
        </row>
        <row r="909">
          <cell r="X909" t="str">
            <v>USB kľúč</v>
          </cell>
          <cell r="AB909">
            <v>88</v>
          </cell>
        </row>
        <row r="910">
          <cell r="X910" t="str">
            <v>Diskové pole</v>
          </cell>
          <cell r="AB910">
            <v>18288</v>
          </cell>
        </row>
        <row r="911">
          <cell r="X911" t="str">
            <v>Čítačka pamäťových kariet</v>
          </cell>
          <cell r="AB911">
            <v>21</v>
          </cell>
        </row>
        <row r="912">
          <cell r="X912" t="str">
            <v>Rack</v>
          </cell>
          <cell r="AB912">
            <v>2007.28</v>
          </cell>
        </row>
        <row r="913">
          <cell r="X913" t="str">
            <v>Modulárny LAN prepínač + smerovač</v>
          </cell>
          <cell r="AB913">
            <v>17403.32</v>
          </cell>
        </row>
        <row r="914">
          <cell r="X914" t="str">
            <v>Záložný zdroj</v>
          </cell>
          <cell r="AB914">
            <v>2773.92</v>
          </cell>
        </row>
        <row r="915">
          <cell r="X915" t="str">
            <v>Patch panel</v>
          </cell>
          <cell r="AB915">
            <v>86.96</v>
          </cell>
        </row>
        <row r="916">
          <cell r="X916" t="str">
            <v>Server</v>
          </cell>
          <cell r="AB916">
            <v>25755.439999999999</v>
          </cell>
        </row>
        <row r="917">
          <cell r="X917" t="str">
            <v>Diskové pole</v>
          </cell>
          <cell r="AB917">
            <v>117190</v>
          </cell>
        </row>
        <row r="918">
          <cell r="X918" t="str">
            <v>Diskové pole</v>
          </cell>
          <cell r="AB918">
            <v>32550</v>
          </cell>
        </row>
        <row r="919">
          <cell r="X919" t="str">
            <v>Diskové pole</v>
          </cell>
          <cell r="AB919">
            <v>42530</v>
          </cell>
        </row>
        <row r="920">
          <cell r="X920" t="str">
            <v>Pevný disk</v>
          </cell>
          <cell r="AB920">
            <v>17820</v>
          </cell>
        </row>
        <row r="921">
          <cell r="X921" t="str">
            <v>Pevný disk</v>
          </cell>
          <cell r="AB921">
            <v>7680</v>
          </cell>
        </row>
        <row r="922">
          <cell r="X922" t="str">
            <v>Pevný disk</v>
          </cell>
          <cell r="AB922">
            <v>5400</v>
          </cell>
        </row>
        <row r="923">
          <cell r="X923" t="str">
            <v>Rack</v>
          </cell>
          <cell r="AB923">
            <v>9300</v>
          </cell>
        </row>
        <row r="924">
          <cell r="X924" t="str">
            <v>Rack</v>
          </cell>
          <cell r="AB924">
            <v>11725</v>
          </cell>
        </row>
        <row r="925">
          <cell r="X925" t="str">
            <v>Príslušenstvo</v>
          </cell>
          <cell r="AB925">
            <v>516</v>
          </cell>
        </row>
        <row r="926">
          <cell r="X926" t="str">
            <v>Príslušenstvo</v>
          </cell>
          <cell r="AB926">
            <v>990</v>
          </cell>
        </row>
        <row r="927">
          <cell r="X927" t="str">
            <v>Základná doska</v>
          </cell>
          <cell r="AB927">
            <v>3494</v>
          </cell>
        </row>
        <row r="928">
          <cell r="X928" t="str">
            <v>Pevný disk</v>
          </cell>
          <cell r="AB928">
            <v>349.44</v>
          </cell>
        </row>
        <row r="929">
          <cell r="X929" t="str">
            <v>Pevný disk</v>
          </cell>
          <cell r="AB929">
            <v>933.68</v>
          </cell>
        </row>
        <row r="930">
          <cell r="X930" t="str">
            <v>Počítač</v>
          </cell>
          <cell r="AB930">
            <v>152832</v>
          </cell>
        </row>
        <row r="931">
          <cell r="X931" t="str">
            <v>Monitor</v>
          </cell>
          <cell r="AB931">
            <v>4128</v>
          </cell>
        </row>
        <row r="932">
          <cell r="X932" t="str">
            <v>Notebook</v>
          </cell>
          <cell r="AB932">
            <v>19537.599999999999</v>
          </cell>
        </row>
        <row r="933">
          <cell r="X933" t="str">
            <v>Pevný disk</v>
          </cell>
          <cell r="AB933">
            <v>720.59999999999991</v>
          </cell>
        </row>
        <row r="934">
          <cell r="X934" t="str">
            <v>Pevný disk</v>
          </cell>
          <cell r="AB934">
            <v>1783.8</v>
          </cell>
        </row>
        <row r="935">
          <cell r="X935" t="str">
            <v>Pevný disk</v>
          </cell>
          <cell r="AB935">
            <v>2112</v>
          </cell>
        </row>
        <row r="936">
          <cell r="X936" t="str">
            <v>Pevný disk</v>
          </cell>
          <cell r="AB936">
            <v>4546.2000000000007</v>
          </cell>
        </row>
        <row r="937">
          <cell r="X937" t="str">
            <v>Pevný disk</v>
          </cell>
          <cell r="AB937">
            <v>3960</v>
          </cell>
        </row>
        <row r="938">
          <cell r="X938" t="str">
            <v>Pevný disk</v>
          </cell>
          <cell r="AB938">
            <v>251.70000000000002</v>
          </cell>
        </row>
        <row r="939">
          <cell r="X939" t="str">
            <v>USB kľúč</v>
          </cell>
          <cell r="AB939">
            <v>219.60000000000002</v>
          </cell>
        </row>
        <row r="940">
          <cell r="X940" t="str">
            <v>USB kľúč</v>
          </cell>
          <cell r="AB940">
            <v>395.4</v>
          </cell>
        </row>
        <row r="941">
          <cell r="X941" t="str">
            <v>Pamäťová karta</v>
          </cell>
          <cell r="AB941">
            <v>6.8</v>
          </cell>
        </row>
        <row r="942">
          <cell r="X942" t="str">
            <v>Pamäťová karta</v>
          </cell>
          <cell r="AB942">
            <v>165.60000000000002</v>
          </cell>
        </row>
        <row r="943">
          <cell r="X943" t="str">
            <v>Pamäťová karta</v>
          </cell>
          <cell r="AB943">
            <v>288.5</v>
          </cell>
        </row>
        <row r="944">
          <cell r="X944" t="str">
            <v>Pamäťová karta</v>
          </cell>
          <cell r="AB944">
            <v>126.89999999999999</v>
          </cell>
        </row>
        <row r="945">
          <cell r="X945" t="str">
            <v>Príslušenstvo</v>
          </cell>
          <cell r="AB945">
            <v>24.4</v>
          </cell>
        </row>
        <row r="946">
          <cell r="X946" t="str">
            <v>Príslušenstvo</v>
          </cell>
          <cell r="AB946">
            <v>273.60000000000002</v>
          </cell>
        </row>
        <row r="947">
          <cell r="X947" t="str">
            <v>Myš</v>
          </cell>
          <cell r="AB947">
            <v>39.900000000000006</v>
          </cell>
        </row>
        <row r="948">
          <cell r="X948" t="str">
            <v>Myš</v>
          </cell>
          <cell r="AB948">
            <v>41.400000000000006</v>
          </cell>
        </row>
        <row r="949">
          <cell r="X949" t="str">
            <v>Príslušenstvo</v>
          </cell>
          <cell r="AB949">
            <v>304.5</v>
          </cell>
        </row>
        <row r="950">
          <cell r="X950" t="str">
            <v>Modem</v>
          </cell>
          <cell r="AB950">
            <v>41.7</v>
          </cell>
        </row>
        <row r="951">
          <cell r="X951" t="str">
            <v>Záložný zdroj</v>
          </cell>
          <cell r="AB951">
            <v>4089.0000000000005</v>
          </cell>
        </row>
        <row r="952">
          <cell r="X952" t="str">
            <v>Príslušenstvo</v>
          </cell>
          <cell r="AB952">
            <v>14016</v>
          </cell>
        </row>
        <row r="953">
          <cell r="X953" t="str">
            <v>Príslušenstvo</v>
          </cell>
          <cell r="AB953">
            <v>144</v>
          </cell>
        </row>
        <row r="954">
          <cell r="X954" t="str">
            <v>Príslušenstvo</v>
          </cell>
          <cell r="AB954">
            <v>169.6</v>
          </cell>
        </row>
        <row r="955">
          <cell r="X955" t="str">
            <v>Príslušenstvo</v>
          </cell>
          <cell r="AB955">
            <v>61.199999999999996</v>
          </cell>
        </row>
        <row r="956">
          <cell r="X956" t="str">
            <v>Dátový rozvádzač</v>
          </cell>
          <cell r="AB956">
            <v>2560</v>
          </cell>
        </row>
        <row r="957">
          <cell r="X957" t="str">
            <v>Dátový rozvádzač</v>
          </cell>
          <cell r="AB957">
            <v>400</v>
          </cell>
        </row>
        <row r="958">
          <cell r="X958" t="str">
            <v>Dátový rozvádzač</v>
          </cell>
          <cell r="AB958">
            <v>3500</v>
          </cell>
        </row>
        <row r="959">
          <cell r="X959" t="str">
            <v>Patch panel</v>
          </cell>
          <cell r="AB959">
            <v>6000</v>
          </cell>
        </row>
        <row r="960">
          <cell r="X960" t="str">
            <v>Príslušenstvo</v>
          </cell>
          <cell r="AB960">
            <v>720</v>
          </cell>
        </row>
        <row r="961">
          <cell r="X961" t="str">
            <v>LAN prepínač</v>
          </cell>
          <cell r="AB961">
            <v>9053.91</v>
          </cell>
        </row>
        <row r="962">
          <cell r="X962" t="str">
            <v>LAN prepínač</v>
          </cell>
          <cell r="AB962">
            <v>26612.04</v>
          </cell>
        </row>
        <row r="963">
          <cell r="X963" t="str">
            <v>LAN prepínač</v>
          </cell>
          <cell r="AB963">
            <v>26990.44</v>
          </cell>
        </row>
        <row r="964">
          <cell r="X964" t="str">
            <v>LAN prepínač</v>
          </cell>
          <cell r="AB964">
            <v>157052.25</v>
          </cell>
        </row>
        <row r="965">
          <cell r="X965" t="str">
            <v>LAN prepínač</v>
          </cell>
          <cell r="AB965">
            <v>7407.98</v>
          </cell>
        </row>
        <row r="966">
          <cell r="X966" t="str">
            <v>Počítač</v>
          </cell>
          <cell r="AB966">
            <v>3467.6</v>
          </cell>
        </row>
        <row r="967">
          <cell r="X967" t="str">
            <v>Monitor</v>
          </cell>
          <cell r="AB967">
            <v>1262</v>
          </cell>
        </row>
        <row r="968">
          <cell r="X968" t="str">
            <v>WIFI prístupový bod</v>
          </cell>
          <cell r="AB968">
            <v>42255</v>
          </cell>
        </row>
        <row r="969">
          <cell r="X969" t="str">
            <v>Počítač</v>
          </cell>
          <cell r="AB969">
            <v>33050</v>
          </cell>
        </row>
        <row r="970">
          <cell r="X970" t="str">
            <v>Notebook</v>
          </cell>
          <cell r="AB970">
            <v>41120</v>
          </cell>
        </row>
        <row r="971">
          <cell r="X971" t="str">
            <v>Notebook</v>
          </cell>
          <cell r="AB971">
            <v>11900</v>
          </cell>
        </row>
        <row r="972">
          <cell r="X972" t="str">
            <v>Notebook</v>
          </cell>
          <cell r="AB972">
            <v>6315</v>
          </cell>
        </row>
        <row r="973">
          <cell r="X973" t="str">
            <v>Monitor</v>
          </cell>
          <cell r="AB973">
            <v>19800</v>
          </cell>
        </row>
        <row r="974">
          <cell r="X974" t="str">
            <v>Monitor</v>
          </cell>
          <cell r="AB974">
            <v>1200</v>
          </cell>
        </row>
        <row r="975">
          <cell r="X975" t="str">
            <v>Tlačiareň</v>
          </cell>
          <cell r="AB975">
            <v>18200</v>
          </cell>
        </row>
        <row r="976">
          <cell r="X976" t="str">
            <v>Tlačiareň</v>
          </cell>
          <cell r="AB976">
            <v>3760</v>
          </cell>
        </row>
        <row r="977">
          <cell r="X977" t="str">
            <v>Počítač</v>
          </cell>
          <cell r="AB977">
            <v>183057</v>
          </cell>
        </row>
        <row r="978">
          <cell r="X978" t="str">
            <v>Počítač</v>
          </cell>
          <cell r="AB978">
            <v>203692.79999999999</v>
          </cell>
        </row>
        <row r="979">
          <cell r="X979" t="str">
            <v>Počítač</v>
          </cell>
          <cell r="AB979">
            <v>11022</v>
          </cell>
        </row>
        <row r="980">
          <cell r="X980" t="str">
            <v>Notebook</v>
          </cell>
          <cell r="AB980">
            <v>200505</v>
          </cell>
        </row>
        <row r="981">
          <cell r="X981" t="str">
            <v>Notebook</v>
          </cell>
          <cell r="AB981">
            <v>243796.99999999997</v>
          </cell>
        </row>
        <row r="982">
          <cell r="X982" t="str">
            <v>Notebook</v>
          </cell>
          <cell r="AB982">
            <v>82819</v>
          </cell>
        </row>
        <row r="983">
          <cell r="X983" t="str">
            <v>Notebook</v>
          </cell>
          <cell r="AB983">
            <v>7960</v>
          </cell>
        </row>
        <row r="984">
          <cell r="X984" t="str">
            <v>Notebook</v>
          </cell>
          <cell r="AB984">
            <v>18691</v>
          </cell>
        </row>
        <row r="985">
          <cell r="X985" t="str">
            <v>Monitor</v>
          </cell>
          <cell r="AB985">
            <v>76884</v>
          </cell>
        </row>
        <row r="986">
          <cell r="X986" t="str">
            <v>Monitor</v>
          </cell>
          <cell r="AB986">
            <v>70400</v>
          </cell>
        </row>
        <row r="987">
          <cell r="X987" t="str">
            <v>Monitor</v>
          </cell>
          <cell r="AB987">
            <v>16763.5</v>
          </cell>
        </row>
        <row r="988">
          <cell r="X988" t="str">
            <v>Monitor</v>
          </cell>
          <cell r="AB988">
            <v>3150</v>
          </cell>
        </row>
        <row r="989">
          <cell r="X989" t="str">
            <v>Tlačiareň</v>
          </cell>
          <cell r="AB989">
            <v>14497.6</v>
          </cell>
        </row>
        <row r="990">
          <cell r="X990" t="str">
            <v>Tlačiareň</v>
          </cell>
          <cell r="AB990">
            <v>47004.299999999996</v>
          </cell>
        </row>
        <row r="991">
          <cell r="X991" t="str">
            <v>Tlačiareň</v>
          </cell>
          <cell r="AB991">
            <v>29281.199999999997</v>
          </cell>
        </row>
        <row r="992">
          <cell r="X992" t="str">
            <v>Tlačiareň</v>
          </cell>
          <cell r="AB992">
            <v>7134.5999999999995</v>
          </cell>
        </row>
        <row r="993">
          <cell r="X993" t="str">
            <v>Tlačiareň</v>
          </cell>
          <cell r="AB993">
            <v>13341</v>
          </cell>
        </row>
        <row r="994">
          <cell r="X994" t="str">
            <v>Počítač</v>
          </cell>
          <cell r="AB994">
            <v>55790</v>
          </cell>
        </row>
        <row r="995">
          <cell r="X995" t="str">
            <v>Počítač</v>
          </cell>
          <cell r="AB995">
            <v>53514</v>
          </cell>
        </row>
        <row r="996">
          <cell r="X996" t="str">
            <v>Počítač</v>
          </cell>
          <cell r="AB996">
            <v>34255</v>
          </cell>
        </row>
        <row r="997">
          <cell r="X997" t="str">
            <v>Počítač</v>
          </cell>
          <cell r="AB997">
            <v>42948</v>
          </cell>
        </row>
        <row r="998">
          <cell r="X998" t="str">
            <v>Notebook</v>
          </cell>
          <cell r="AB998">
            <v>113985</v>
          </cell>
        </row>
        <row r="999">
          <cell r="X999" t="str">
            <v>Notebook</v>
          </cell>
          <cell r="AB999">
            <v>151095</v>
          </cell>
        </row>
        <row r="1000">
          <cell r="X1000" t="str">
            <v>Notebook</v>
          </cell>
          <cell r="AB1000">
            <v>46841</v>
          </cell>
        </row>
        <row r="1001">
          <cell r="X1001" t="str">
            <v>Notebook</v>
          </cell>
          <cell r="AB1001">
            <v>28140</v>
          </cell>
        </row>
        <row r="1002">
          <cell r="X1002" t="str">
            <v>Monitor</v>
          </cell>
          <cell r="AB1002">
            <v>298930</v>
          </cell>
        </row>
        <row r="1003">
          <cell r="X1003" t="str">
            <v>Monitor</v>
          </cell>
          <cell r="AB1003">
            <v>243100</v>
          </cell>
        </row>
        <row r="1004">
          <cell r="X1004" t="str">
            <v>Monitor</v>
          </cell>
          <cell r="AB1004">
            <v>8029</v>
          </cell>
        </row>
        <row r="1005">
          <cell r="X1005" t="str">
            <v>Monitor</v>
          </cell>
          <cell r="AB1005">
            <v>18386</v>
          </cell>
        </row>
        <row r="1006">
          <cell r="X1006" t="str">
            <v>Tlačiareň</v>
          </cell>
          <cell r="AB1006">
            <v>1967</v>
          </cell>
        </row>
        <row r="1007">
          <cell r="X1007" t="str">
            <v>Tlačiareň</v>
          </cell>
          <cell r="AB1007">
            <v>3381</v>
          </cell>
        </row>
        <row r="1008">
          <cell r="X1008" t="str">
            <v>Tlačiareň</v>
          </cell>
          <cell r="AB1008">
            <v>5512</v>
          </cell>
        </row>
        <row r="1009">
          <cell r="X1009" t="str">
            <v>Tlačiareň</v>
          </cell>
          <cell r="AB1009">
            <v>8730</v>
          </cell>
        </row>
        <row r="1010">
          <cell r="X1010" t="str">
            <v>Tlačiareň</v>
          </cell>
          <cell r="AB1010">
            <v>3765</v>
          </cell>
        </row>
        <row r="1011">
          <cell r="X1011" t="str">
            <v>Tlačiareň</v>
          </cell>
          <cell r="AB1011">
            <v>4457</v>
          </cell>
        </row>
        <row r="1012">
          <cell r="X1012" t="str">
            <v>Tlačiareň</v>
          </cell>
          <cell r="AB1012">
            <v>20098</v>
          </cell>
        </row>
        <row r="1013">
          <cell r="X1013" t="str">
            <v>Príslušenstvo</v>
          </cell>
          <cell r="AB1013">
            <v>7200</v>
          </cell>
        </row>
        <row r="1014">
          <cell r="X1014" t="str">
            <v>Sieťová karta</v>
          </cell>
          <cell r="AB1014">
            <v>827.09999999999991</v>
          </cell>
        </row>
        <row r="1015">
          <cell r="X1015" t="str">
            <v>Sieťová karta</v>
          </cell>
          <cell r="AB1015">
            <v>837.00000000000011</v>
          </cell>
        </row>
        <row r="1016">
          <cell r="X1016" t="str">
            <v>Myš</v>
          </cell>
          <cell r="AB1016">
            <v>9918</v>
          </cell>
        </row>
        <row r="1017">
          <cell r="X1017" t="str">
            <v>Klávesnica</v>
          </cell>
          <cell r="AB1017">
            <v>11343</v>
          </cell>
        </row>
        <row r="1018">
          <cell r="X1018" t="str">
            <v>Klávesnica</v>
          </cell>
          <cell r="AB1018">
            <v>7848</v>
          </cell>
        </row>
        <row r="1019">
          <cell r="X1019" t="str">
            <v>Klávesnica</v>
          </cell>
          <cell r="AB1019">
            <v>7805.7000000000007</v>
          </cell>
        </row>
        <row r="1020">
          <cell r="X1020" t="str">
            <v>Klávesnica a myš</v>
          </cell>
          <cell r="AB1020">
            <v>12293</v>
          </cell>
        </row>
        <row r="1021">
          <cell r="X1021" t="str">
            <v>RAM</v>
          </cell>
          <cell r="AB1021">
            <v>3150</v>
          </cell>
        </row>
        <row r="1022">
          <cell r="X1022" t="str">
            <v>Pevný disk</v>
          </cell>
          <cell r="AB1022">
            <v>32383.000000000004</v>
          </cell>
        </row>
        <row r="1023">
          <cell r="X1023" t="str">
            <v>Pevný disk</v>
          </cell>
          <cell r="AB1023">
            <v>53100</v>
          </cell>
        </row>
        <row r="1024">
          <cell r="X1024" t="str">
            <v>Pevný disk</v>
          </cell>
          <cell r="AB1024">
            <v>36000</v>
          </cell>
        </row>
        <row r="1025">
          <cell r="X1025" t="str">
            <v>Pevný disk</v>
          </cell>
          <cell r="AB1025">
            <v>92820</v>
          </cell>
        </row>
        <row r="1026">
          <cell r="X1026" t="str">
            <v>Pevný disk</v>
          </cell>
          <cell r="AB1026">
            <v>28110.000000000004</v>
          </cell>
        </row>
        <row r="1027">
          <cell r="X1027" t="str">
            <v>Pevný disk</v>
          </cell>
          <cell r="AB1027">
            <v>3904.25</v>
          </cell>
        </row>
        <row r="1028">
          <cell r="X1028" t="str">
            <v>Pevný disk</v>
          </cell>
          <cell r="AB1028">
            <v>1018.1999999999999</v>
          </cell>
        </row>
        <row r="1029">
          <cell r="X1029" t="str">
            <v>Pevný disk</v>
          </cell>
          <cell r="AB1029">
            <v>369.19</v>
          </cell>
        </row>
        <row r="1030">
          <cell r="X1030" t="str">
            <v>Pevný disk</v>
          </cell>
          <cell r="AB1030">
            <v>2080.16</v>
          </cell>
        </row>
        <row r="1031">
          <cell r="X1031" t="str">
            <v>Pevný disk</v>
          </cell>
          <cell r="AB1031">
            <v>1384.4</v>
          </cell>
        </row>
        <row r="1032">
          <cell r="X1032" t="str">
            <v>Pevný disk</v>
          </cell>
          <cell r="AB1032">
            <v>1229.2</v>
          </cell>
        </row>
        <row r="1033">
          <cell r="X1033" t="str">
            <v>Pevný disk</v>
          </cell>
          <cell r="AB1033">
            <v>9702</v>
          </cell>
        </row>
        <row r="1034">
          <cell r="X1034" t="str">
            <v>Pevný disk</v>
          </cell>
          <cell r="AB1034">
            <v>16200</v>
          </cell>
        </row>
        <row r="1035">
          <cell r="X1035" t="str">
            <v>Pevný disk</v>
          </cell>
          <cell r="AB1035">
            <v>11975</v>
          </cell>
        </row>
        <row r="1036">
          <cell r="X1036" t="str">
            <v>Pevný disk</v>
          </cell>
          <cell r="AB1036">
            <v>13600</v>
          </cell>
        </row>
        <row r="1037">
          <cell r="X1037" t="str">
            <v>Pevný disk</v>
          </cell>
          <cell r="AB1037">
            <v>5100.8</v>
          </cell>
        </row>
        <row r="1038">
          <cell r="X1038" t="str">
            <v>Pevný disk</v>
          </cell>
          <cell r="AB1038">
            <v>33684</v>
          </cell>
        </row>
        <row r="1039">
          <cell r="X1039" t="str">
            <v>Pevný disk</v>
          </cell>
          <cell r="AB1039">
            <v>9495</v>
          </cell>
        </row>
        <row r="1040">
          <cell r="X1040" t="str">
            <v>Pevný disk</v>
          </cell>
          <cell r="AB1040">
            <v>25725</v>
          </cell>
        </row>
        <row r="1041">
          <cell r="X1041" t="str">
            <v>Pevný disk</v>
          </cell>
          <cell r="AB1041">
            <v>19074</v>
          </cell>
        </row>
        <row r="1042">
          <cell r="X1042" t="str">
            <v>Pevný disk</v>
          </cell>
          <cell r="AB1042">
            <v>10560</v>
          </cell>
        </row>
        <row r="1043">
          <cell r="X1043" t="str">
            <v>Pevný disk</v>
          </cell>
          <cell r="AB1043">
            <v>41000</v>
          </cell>
        </row>
        <row r="1044">
          <cell r="X1044" t="str">
            <v>Pevný disk</v>
          </cell>
          <cell r="AB1044">
            <v>18336</v>
          </cell>
        </row>
        <row r="1045">
          <cell r="X1045" t="str">
            <v>Pevný disk</v>
          </cell>
          <cell r="AB1045">
            <v>9725.4</v>
          </cell>
        </row>
        <row r="1046">
          <cell r="X1046" t="str">
            <v>Pevný disk</v>
          </cell>
          <cell r="AB1046">
            <v>7109.9999999999991</v>
          </cell>
        </row>
        <row r="1047">
          <cell r="X1047" t="str">
            <v>RAM</v>
          </cell>
          <cell r="AB1047">
            <v>640.70000000000005</v>
          </cell>
        </row>
        <row r="1048">
          <cell r="X1048" t="str">
            <v>RAM</v>
          </cell>
          <cell r="AB1048">
            <v>10170</v>
          </cell>
        </row>
        <row r="1049">
          <cell r="X1049" t="str">
            <v>RAM</v>
          </cell>
          <cell r="AB1049">
            <v>9718</v>
          </cell>
        </row>
        <row r="1050">
          <cell r="X1050" t="str">
            <v>RAM</v>
          </cell>
          <cell r="AB1050">
            <v>4068.0000000000005</v>
          </cell>
        </row>
        <row r="1051">
          <cell r="X1051" t="str">
            <v>USB kľúč</v>
          </cell>
          <cell r="AB1051">
            <v>6403</v>
          </cell>
        </row>
        <row r="1052">
          <cell r="X1052" t="str">
            <v>USB kľúč</v>
          </cell>
          <cell r="AB1052">
            <v>5616</v>
          </cell>
        </row>
        <row r="1053">
          <cell r="X1053" t="str">
            <v>USB kľúč</v>
          </cell>
          <cell r="AB1053">
            <v>7660</v>
          </cell>
        </row>
        <row r="1054">
          <cell r="X1054" t="str">
            <v>USB kľúč</v>
          </cell>
          <cell r="AB1054">
            <v>5121</v>
          </cell>
        </row>
        <row r="1055">
          <cell r="X1055" t="str">
            <v>Monitor</v>
          </cell>
          <cell r="AB1055">
            <v>49571.999999999993</v>
          </cell>
        </row>
        <row r="1056">
          <cell r="X1056" t="str">
            <v>Počítač</v>
          </cell>
          <cell r="AB1056">
            <v>106240</v>
          </cell>
        </row>
        <row r="1057">
          <cell r="X1057" t="str">
            <v>Počítač</v>
          </cell>
          <cell r="AB1057">
            <v>13510</v>
          </cell>
        </row>
        <row r="1058">
          <cell r="X1058" t="str">
            <v>Počítač</v>
          </cell>
          <cell r="AB1058">
            <v>79355</v>
          </cell>
        </row>
        <row r="1059">
          <cell r="X1059" t="str">
            <v>Počítač</v>
          </cell>
          <cell r="AB1059">
            <v>28080</v>
          </cell>
        </row>
        <row r="1060">
          <cell r="X1060" t="str">
            <v>Počítač</v>
          </cell>
          <cell r="AB1060">
            <v>59940</v>
          </cell>
        </row>
        <row r="1061">
          <cell r="X1061" t="str">
            <v>Počítač</v>
          </cell>
          <cell r="AB1061">
            <v>1250</v>
          </cell>
        </row>
        <row r="1062">
          <cell r="X1062" t="str">
            <v>RAM</v>
          </cell>
          <cell r="AB1062">
            <v>17799</v>
          </cell>
        </row>
        <row r="1063">
          <cell r="X1063" t="str">
            <v>Monitor</v>
          </cell>
          <cell r="AB1063">
            <v>22890</v>
          </cell>
        </row>
        <row r="1064">
          <cell r="X1064" t="str">
            <v>Monitor</v>
          </cell>
          <cell r="AB1064">
            <v>29520</v>
          </cell>
        </row>
        <row r="1065">
          <cell r="X1065" t="str">
            <v>Tlačiareň</v>
          </cell>
          <cell r="AB1065">
            <v>115046</v>
          </cell>
        </row>
        <row r="1066">
          <cell r="X1066" t="str">
            <v>Notebook</v>
          </cell>
          <cell r="AB1066">
            <v>63150</v>
          </cell>
        </row>
        <row r="1067">
          <cell r="X1067" t="str">
            <v>Monitor</v>
          </cell>
          <cell r="AB1067">
            <v>28050</v>
          </cell>
        </row>
        <row r="1068">
          <cell r="X1068" t="str">
            <v>Tablet</v>
          </cell>
          <cell r="AB1068">
            <v>11041.65</v>
          </cell>
        </row>
        <row r="1069">
          <cell r="X1069" t="str">
            <v>Počítač</v>
          </cell>
          <cell r="AB1069">
            <v>80775</v>
          </cell>
        </row>
        <row r="1070">
          <cell r="X1070" t="str">
            <v>Tlačiareň</v>
          </cell>
          <cell r="AB1070">
            <v>6675</v>
          </cell>
        </row>
        <row r="1071">
          <cell r="X1071" t="str">
            <v>Tlačiareň</v>
          </cell>
          <cell r="AB1071">
            <v>198225</v>
          </cell>
        </row>
        <row r="1072">
          <cell r="X1072" t="str">
            <v>Sieťová karta</v>
          </cell>
          <cell r="AB1072">
            <v>1313.76</v>
          </cell>
        </row>
        <row r="1073">
          <cell r="X1073" t="str">
            <v>LAN kábel</v>
          </cell>
          <cell r="AB1073">
            <v>1199.6399999999999</v>
          </cell>
        </row>
        <row r="1074">
          <cell r="X1074" t="str">
            <v>LAN kábel</v>
          </cell>
          <cell r="AB1074">
            <v>743.68</v>
          </cell>
        </row>
        <row r="1075">
          <cell r="X1075" t="str">
            <v>Patch panel</v>
          </cell>
          <cell r="AB1075">
            <v>86.6</v>
          </cell>
        </row>
        <row r="1076">
          <cell r="X1076" t="str">
            <v>Záložný zdroj</v>
          </cell>
          <cell r="AB1076">
            <v>1353.24</v>
          </cell>
        </row>
        <row r="1077">
          <cell r="X1077" t="str">
            <v>Záložný zdroj</v>
          </cell>
          <cell r="AB1077">
            <v>219.78000000000003</v>
          </cell>
        </row>
        <row r="1078">
          <cell r="X1078" t="str">
            <v>Záložný zdroj</v>
          </cell>
          <cell r="AB1078">
            <v>2198.4</v>
          </cell>
        </row>
        <row r="1079">
          <cell r="X1079" t="str">
            <v>Myš</v>
          </cell>
          <cell r="AB1079">
            <v>163.80000000000001</v>
          </cell>
        </row>
        <row r="1080">
          <cell r="X1080" t="str">
            <v>Myš</v>
          </cell>
          <cell r="AB1080">
            <v>979.2</v>
          </cell>
        </row>
        <row r="1081">
          <cell r="X1081" t="str">
            <v>Myš</v>
          </cell>
          <cell r="AB1081">
            <v>2590.64</v>
          </cell>
        </row>
        <row r="1082">
          <cell r="X1082" t="str">
            <v>USB hub</v>
          </cell>
          <cell r="AB1082">
            <v>828.71</v>
          </cell>
        </row>
        <row r="1083">
          <cell r="X1083" t="str">
            <v>Pevný disk</v>
          </cell>
          <cell r="AB1083">
            <v>6379.4800000000005</v>
          </cell>
        </row>
        <row r="1084">
          <cell r="X1084" t="str">
            <v>Pevný disk</v>
          </cell>
          <cell r="AB1084">
            <v>732.69999999999993</v>
          </cell>
        </row>
        <row r="1085">
          <cell r="X1085" t="str">
            <v>Pevný disk</v>
          </cell>
          <cell r="AB1085">
            <v>229.34</v>
          </cell>
        </row>
        <row r="1086">
          <cell r="X1086" t="str">
            <v>Pevný disk</v>
          </cell>
          <cell r="AB1086">
            <v>834.80000000000007</v>
          </cell>
        </row>
        <row r="1087">
          <cell r="X1087" t="str">
            <v>Pevný disk</v>
          </cell>
          <cell r="AB1087">
            <v>3081.19</v>
          </cell>
        </row>
        <row r="1088">
          <cell r="X1088" t="str">
            <v>RAM</v>
          </cell>
          <cell r="AB1088">
            <v>247.10000000000002</v>
          </cell>
        </row>
        <row r="1089">
          <cell r="X1089" t="str">
            <v>RAM</v>
          </cell>
          <cell r="AB1089">
            <v>434.79999999999995</v>
          </cell>
        </row>
        <row r="1090">
          <cell r="X1090" t="str">
            <v>RAM</v>
          </cell>
          <cell r="AB1090">
            <v>333.40000000000003</v>
          </cell>
        </row>
        <row r="1091">
          <cell r="X1091" t="str">
            <v>RAM</v>
          </cell>
          <cell r="AB1091">
            <v>424.20000000000005</v>
          </cell>
        </row>
        <row r="1092">
          <cell r="X1092" t="str">
            <v>Pevný disk</v>
          </cell>
          <cell r="AB1092">
            <v>12150</v>
          </cell>
        </row>
        <row r="1093">
          <cell r="X1093" t="str">
            <v>Pevný disk</v>
          </cell>
          <cell r="AB1093">
            <v>1868.1299999999999</v>
          </cell>
        </row>
        <row r="1094">
          <cell r="X1094" t="str">
            <v>Pevný disk</v>
          </cell>
          <cell r="AB1094">
            <v>312.72000000000003</v>
          </cell>
        </row>
        <row r="1095">
          <cell r="X1095" t="str">
            <v>Diskové pole</v>
          </cell>
          <cell r="AB1095">
            <v>2432</v>
          </cell>
        </row>
        <row r="1096">
          <cell r="X1096" t="str">
            <v>Myš</v>
          </cell>
          <cell r="AB1096">
            <v>8700</v>
          </cell>
        </row>
        <row r="1097">
          <cell r="X1097" t="str">
            <v>Myš</v>
          </cell>
          <cell r="AB1097">
            <v>726.59999999999991</v>
          </cell>
        </row>
        <row r="1098">
          <cell r="X1098" t="str">
            <v>Klávesnica</v>
          </cell>
          <cell r="AB1098">
            <v>2632.62</v>
          </cell>
        </row>
        <row r="1099">
          <cell r="X1099" t="str">
            <v>Diskové pole</v>
          </cell>
          <cell r="AB1099">
            <v>87628.37</v>
          </cell>
        </row>
        <row r="1100">
          <cell r="X1100" t="str">
            <v>Zálohovacia jednotka</v>
          </cell>
          <cell r="AB1100">
            <v>46767.22</v>
          </cell>
        </row>
        <row r="1101">
          <cell r="X1101" t="str">
            <v>Monitor</v>
          </cell>
          <cell r="AB1101">
            <v>3483</v>
          </cell>
        </row>
        <row r="1102">
          <cell r="X1102" t="str">
            <v>Monitor</v>
          </cell>
          <cell r="AB1102">
            <v>2057</v>
          </cell>
        </row>
        <row r="1103">
          <cell r="X1103" t="str">
            <v>Monitor</v>
          </cell>
          <cell r="AB1103">
            <v>3900</v>
          </cell>
        </row>
        <row r="1104">
          <cell r="X1104" t="str">
            <v>Monitor</v>
          </cell>
          <cell r="AB1104">
            <v>940</v>
          </cell>
        </row>
        <row r="1105">
          <cell r="X1105" t="str">
            <v>Monitor</v>
          </cell>
          <cell r="AB1105">
            <v>2475</v>
          </cell>
        </row>
        <row r="1106">
          <cell r="X1106" t="str">
            <v>Monitor</v>
          </cell>
          <cell r="AB1106">
            <v>1470</v>
          </cell>
        </row>
        <row r="1107">
          <cell r="X1107" t="str">
            <v>Počítač</v>
          </cell>
          <cell r="AB1107">
            <v>840</v>
          </cell>
        </row>
        <row r="1108">
          <cell r="X1108" t="str">
            <v>Počítač</v>
          </cell>
          <cell r="AB1108">
            <v>10010</v>
          </cell>
        </row>
        <row r="1109">
          <cell r="X1109" t="str">
            <v>Počítač</v>
          </cell>
          <cell r="AB1109">
            <v>14250</v>
          </cell>
        </row>
        <row r="1110">
          <cell r="X1110" t="str">
            <v>Počítač</v>
          </cell>
          <cell r="AB1110">
            <v>8160</v>
          </cell>
        </row>
        <row r="1111">
          <cell r="X1111" t="str">
            <v>Počítač</v>
          </cell>
          <cell r="AB1111">
            <v>2490</v>
          </cell>
        </row>
        <row r="1112">
          <cell r="X1112" t="str">
            <v>Počítač</v>
          </cell>
          <cell r="AB1112">
            <v>3780</v>
          </cell>
        </row>
        <row r="1113">
          <cell r="X1113" t="str">
            <v>Počítač</v>
          </cell>
          <cell r="AB1113">
            <v>1100</v>
          </cell>
        </row>
        <row r="1114">
          <cell r="X1114" t="str">
            <v>Počítač</v>
          </cell>
          <cell r="AB1114">
            <v>2240</v>
          </cell>
        </row>
        <row r="1115">
          <cell r="X1115" t="str">
            <v>Počítač</v>
          </cell>
          <cell r="AB1115">
            <v>3984</v>
          </cell>
        </row>
        <row r="1116">
          <cell r="X1116" t="str">
            <v>Notebook</v>
          </cell>
          <cell r="AB1116">
            <v>1780</v>
          </cell>
        </row>
        <row r="1117">
          <cell r="X1117" t="str">
            <v>Notebook</v>
          </cell>
          <cell r="AB1117">
            <v>24140</v>
          </cell>
        </row>
        <row r="1118">
          <cell r="X1118" t="str">
            <v>Notebook</v>
          </cell>
          <cell r="AB1118">
            <v>12450</v>
          </cell>
        </row>
        <row r="1119">
          <cell r="X1119" t="str">
            <v>Notebook</v>
          </cell>
          <cell r="AB1119">
            <v>5600</v>
          </cell>
        </row>
        <row r="1120">
          <cell r="X1120" t="str">
            <v>Notebook</v>
          </cell>
          <cell r="AB1120">
            <v>2580</v>
          </cell>
        </row>
        <row r="1121">
          <cell r="X1121" t="str">
            <v>Notebook</v>
          </cell>
          <cell r="AB1121">
            <v>3780</v>
          </cell>
        </row>
        <row r="1122">
          <cell r="X1122" t="str">
            <v>Notebook</v>
          </cell>
          <cell r="AB1122">
            <v>9300</v>
          </cell>
        </row>
        <row r="1123">
          <cell r="X1123" t="str">
            <v>Notebook</v>
          </cell>
          <cell r="AB1123">
            <v>1560</v>
          </cell>
        </row>
        <row r="1124">
          <cell r="X1124" t="str">
            <v>Notebook</v>
          </cell>
          <cell r="AB1124">
            <v>1940</v>
          </cell>
        </row>
        <row r="1125">
          <cell r="X1125" t="str">
            <v>Notebook</v>
          </cell>
          <cell r="AB1125">
            <v>6720</v>
          </cell>
        </row>
        <row r="1126">
          <cell r="X1126" t="str">
            <v>Tablet</v>
          </cell>
          <cell r="AB1126">
            <v>3008</v>
          </cell>
        </row>
        <row r="1127">
          <cell r="X1127" t="str">
            <v>Tablet</v>
          </cell>
          <cell r="AB1127">
            <v>3000</v>
          </cell>
        </row>
        <row r="1128">
          <cell r="X1128" t="str">
            <v>Tablet</v>
          </cell>
          <cell r="AB1128">
            <v>720</v>
          </cell>
        </row>
        <row r="1129">
          <cell r="X1129" t="str">
            <v>Multifunkčné zariadenie</v>
          </cell>
          <cell r="AB1129">
            <v>7760</v>
          </cell>
        </row>
        <row r="1130">
          <cell r="X1130" t="str">
            <v>Tlačiareň</v>
          </cell>
          <cell r="AB1130">
            <v>1920</v>
          </cell>
        </row>
        <row r="1131">
          <cell r="X1131" t="str">
            <v>Multifunkčné zariadenie</v>
          </cell>
          <cell r="AB1131">
            <v>2120</v>
          </cell>
        </row>
        <row r="1132">
          <cell r="X1132" t="str">
            <v>Multifunkčné zariadenie</v>
          </cell>
          <cell r="AB1132">
            <v>3150</v>
          </cell>
        </row>
        <row r="1133">
          <cell r="X1133" t="str">
            <v>Multifunkčné zariadenie</v>
          </cell>
          <cell r="AB1133">
            <v>3822</v>
          </cell>
        </row>
        <row r="1134">
          <cell r="X1134" t="str">
            <v>Multifunkčné zariadenie</v>
          </cell>
          <cell r="AB1134">
            <v>1860</v>
          </cell>
        </row>
        <row r="1135">
          <cell r="X1135" t="str">
            <v>Multifunkčné zariadenie</v>
          </cell>
          <cell r="AB1135">
            <v>2640</v>
          </cell>
        </row>
        <row r="1136">
          <cell r="X1136" t="str">
            <v>Projektor</v>
          </cell>
          <cell r="AB1136">
            <v>13156</v>
          </cell>
        </row>
        <row r="1137">
          <cell r="X1137" t="str">
            <v>Projektor</v>
          </cell>
          <cell r="AB1137">
            <v>2796</v>
          </cell>
        </row>
        <row r="1138">
          <cell r="X1138" t="str">
            <v>Projektor</v>
          </cell>
          <cell r="AB1138">
            <v>2550</v>
          </cell>
        </row>
        <row r="1139">
          <cell r="X1139" t="str">
            <v>Projektor</v>
          </cell>
          <cell r="AB1139">
            <v>1620</v>
          </cell>
        </row>
        <row r="1140">
          <cell r="X1140" t="str">
            <v>LAN prepínač</v>
          </cell>
          <cell r="AB1140">
            <v>1188</v>
          </cell>
        </row>
        <row r="1141">
          <cell r="X1141" t="str">
            <v>LAN prepínač</v>
          </cell>
          <cell r="AB1141">
            <v>12660</v>
          </cell>
        </row>
        <row r="1142">
          <cell r="X1142" t="str">
            <v>LAN prepínač</v>
          </cell>
          <cell r="AB1142">
            <v>7320</v>
          </cell>
        </row>
        <row r="1143">
          <cell r="X1143" t="str">
            <v>LAN prepínač</v>
          </cell>
          <cell r="AB1143">
            <v>2750</v>
          </cell>
        </row>
        <row r="1144">
          <cell r="X1144" t="str">
            <v>LAN prepínač</v>
          </cell>
          <cell r="AB1144">
            <v>3950</v>
          </cell>
        </row>
        <row r="1145">
          <cell r="X1145" t="str">
            <v>LAN prepínač</v>
          </cell>
          <cell r="AB1145">
            <v>3450</v>
          </cell>
        </row>
        <row r="1146">
          <cell r="X1146" t="str">
            <v>LAN prepínač</v>
          </cell>
          <cell r="AB1146">
            <v>4980</v>
          </cell>
        </row>
        <row r="1147">
          <cell r="X1147" t="str">
            <v>WIFI prístupový bod</v>
          </cell>
          <cell r="AB1147">
            <v>8235</v>
          </cell>
        </row>
        <row r="1148">
          <cell r="X1148" t="str">
            <v>WIFI prístupový bod</v>
          </cell>
          <cell r="AB1148">
            <v>700</v>
          </cell>
        </row>
        <row r="1149">
          <cell r="X1149" t="str">
            <v>WIFI prístupový bod</v>
          </cell>
          <cell r="AB1149">
            <v>3570</v>
          </cell>
        </row>
        <row r="1150">
          <cell r="X1150" t="str">
            <v>Server</v>
          </cell>
          <cell r="AB1150">
            <v>260524.44</v>
          </cell>
        </row>
        <row r="1151">
          <cell r="X1151" t="str">
            <v>Server</v>
          </cell>
          <cell r="AB1151">
            <v>79030.12</v>
          </cell>
        </row>
        <row r="1152">
          <cell r="X1152" t="str">
            <v>Server</v>
          </cell>
          <cell r="AB1152">
            <v>130079.7</v>
          </cell>
        </row>
        <row r="1153">
          <cell r="X1153" t="str">
            <v>Server</v>
          </cell>
          <cell r="AB1153">
            <v>189064.75</v>
          </cell>
        </row>
        <row r="1154">
          <cell r="X1154" t="str">
            <v>Server</v>
          </cell>
          <cell r="AB1154">
            <v>126141.3</v>
          </cell>
        </row>
        <row r="1155">
          <cell r="X1155" t="str">
            <v>Príslušenstvo</v>
          </cell>
          <cell r="AB1155">
            <v>198930.96</v>
          </cell>
        </row>
        <row r="1156">
          <cell r="X1156" t="str">
            <v>Príslušenstvo</v>
          </cell>
          <cell r="AB1156">
            <v>229134.88</v>
          </cell>
        </row>
        <row r="1157">
          <cell r="X1157" t="str">
            <v>Server</v>
          </cell>
          <cell r="AB1157">
            <v>77673.900000000009</v>
          </cell>
        </row>
        <row r="1158">
          <cell r="X1158" t="str">
            <v>Server</v>
          </cell>
          <cell r="AB1158">
            <v>66036.12</v>
          </cell>
        </row>
        <row r="1159">
          <cell r="X1159" t="str">
            <v>Server</v>
          </cell>
          <cell r="AB1159">
            <v>204840.9</v>
          </cell>
        </row>
        <row r="1160">
          <cell r="X1160" t="str">
            <v>Server</v>
          </cell>
          <cell r="AB1160">
            <v>62311.040000000001</v>
          </cell>
        </row>
        <row r="1161">
          <cell r="X1161" t="str">
            <v>Server</v>
          </cell>
          <cell r="AB1161">
            <v>172093.45</v>
          </cell>
        </row>
        <row r="1162">
          <cell r="X1162" t="str">
            <v>Server</v>
          </cell>
          <cell r="AB1162">
            <v>452522.2</v>
          </cell>
        </row>
        <row r="1163">
          <cell r="X1163" t="str">
            <v>Server</v>
          </cell>
          <cell r="AB1163">
            <v>532718.19999999995</v>
          </cell>
        </row>
        <row r="1164">
          <cell r="X1164" t="str">
            <v>Server</v>
          </cell>
          <cell r="AB1164">
            <v>321798.26</v>
          </cell>
        </row>
        <row r="1165">
          <cell r="X1165" t="str">
            <v>Server RAM</v>
          </cell>
          <cell r="AB1165">
            <v>5580</v>
          </cell>
        </row>
        <row r="1166">
          <cell r="X1166" t="str">
            <v>Server RAM</v>
          </cell>
          <cell r="AB1166">
            <v>28200</v>
          </cell>
        </row>
        <row r="1167">
          <cell r="X1167" t="str">
            <v>Server RAM</v>
          </cell>
          <cell r="AB1167">
            <v>14600</v>
          </cell>
        </row>
        <row r="1168">
          <cell r="X1168" t="str">
            <v>Server RAM</v>
          </cell>
          <cell r="AB1168">
            <v>28518</v>
          </cell>
        </row>
        <row r="1169">
          <cell r="X1169" t="str">
            <v>Server RAM</v>
          </cell>
          <cell r="AB1169">
            <v>33853</v>
          </cell>
        </row>
        <row r="1170">
          <cell r="X1170" t="str">
            <v>Pevný disk</v>
          </cell>
          <cell r="AB1170">
            <v>2958.5</v>
          </cell>
        </row>
        <row r="1171">
          <cell r="X1171" t="str">
            <v>Pevný disk</v>
          </cell>
          <cell r="AB1171">
            <v>9801</v>
          </cell>
        </row>
        <row r="1172">
          <cell r="X1172" t="str">
            <v>Sieťová karta</v>
          </cell>
          <cell r="AB1172">
            <v>4597.8</v>
          </cell>
        </row>
        <row r="1173">
          <cell r="X1173" t="str">
            <v>FibreChannel karta</v>
          </cell>
          <cell r="AB1173">
            <v>12522.7</v>
          </cell>
        </row>
        <row r="1174">
          <cell r="X1174" t="str">
            <v>Príslušenstvo</v>
          </cell>
          <cell r="AB1174">
            <v>3065.2</v>
          </cell>
        </row>
        <row r="1175">
          <cell r="X1175" t="str">
            <v>Príslušenstvo</v>
          </cell>
          <cell r="AB1175">
            <v>24661.279999999999</v>
          </cell>
        </row>
        <row r="1176">
          <cell r="X1176" t="str">
            <v>Príslušenstvo</v>
          </cell>
          <cell r="AB1176">
            <v>2535.58</v>
          </cell>
        </row>
        <row r="1177">
          <cell r="X1177" t="str">
            <v>Príslušenstvo</v>
          </cell>
          <cell r="AB1177">
            <v>92597.18</v>
          </cell>
        </row>
        <row r="1178">
          <cell r="X1178" t="str">
            <v>Príslušenstvo</v>
          </cell>
          <cell r="AB1178">
            <v>65274.6</v>
          </cell>
        </row>
        <row r="1179">
          <cell r="X1179" t="str">
            <v>Diskové pole</v>
          </cell>
          <cell r="AB1179">
            <v>272158.38</v>
          </cell>
        </row>
        <row r="1180">
          <cell r="X1180" t="str">
            <v>Príslušenstvo</v>
          </cell>
          <cell r="AB1180">
            <v>92597.18</v>
          </cell>
        </row>
        <row r="1181">
          <cell r="X1181" t="str">
            <v>Diskové pole</v>
          </cell>
          <cell r="AB1181">
            <v>283597.03999999998</v>
          </cell>
        </row>
        <row r="1182">
          <cell r="X1182" t="str">
            <v>Príslušenstvo</v>
          </cell>
          <cell r="AB1182">
            <v>71461.98</v>
          </cell>
        </row>
        <row r="1183">
          <cell r="X1183" t="str">
            <v>Príslušenstvo</v>
          </cell>
          <cell r="AB1183">
            <v>83566.8</v>
          </cell>
        </row>
        <row r="1184">
          <cell r="X1184" t="str">
            <v>Diskové pole</v>
          </cell>
          <cell r="AB1184">
            <v>186066.95</v>
          </cell>
        </row>
        <row r="1185">
          <cell r="X1185" t="str">
            <v>Diskové pole</v>
          </cell>
          <cell r="AB1185">
            <v>159166.84</v>
          </cell>
        </row>
        <row r="1186">
          <cell r="X1186" t="str">
            <v>SAN prepínač</v>
          </cell>
          <cell r="AB1186">
            <v>19445.55</v>
          </cell>
        </row>
        <row r="1187">
          <cell r="X1187" t="str">
            <v>SAN prepínač</v>
          </cell>
          <cell r="AB1187">
            <v>108466.22</v>
          </cell>
        </row>
        <row r="1188">
          <cell r="X1188" t="str">
            <v>SAN prepínač</v>
          </cell>
          <cell r="AB1188">
            <v>46706.75</v>
          </cell>
        </row>
        <row r="1189">
          <cell r="X1189" t="str">
            <v>Zálohovacia jednotka</v>
          </cell>
          <cell r="AB1189">
            <v>54414.100000000006</v>
          </cell>
        </row>
        <row r="1190">
          <cell r="X1190" t="str">
            <v>Zálohovacia jednotka</v>
          </cell>
          <cell r="AB1190">
            <v>123748.9</v>
          </cell>
        </row>
        <row r="1191">
          <cell r="X1191" t="str">
            <v>Príslušenstvo</v>
          </cell>
          <cell r="AB1191">
            <v>4966.3999999999996</v>
          </cell>
        </row>
        <row r="1192">
          <cell r="X1192" t="str">
            <v>Príslušenstvo</v>
          </cell>
          <cell r="AB1192">
            <v>7255.6</v>
          </cell>
        </row>
        <row r="1193">
          <cell r="X1193" t="str">
            <v>Príslušenstvo</v>
          </cell>
          <cell r="AB1193">
            <v>848.75</v>
          </cell>
        </row>
        <row r="1194">
          <cell r="X1194" t="str">
            <v>Diskové pole</v>
          </cell>
          <cell r="AB1194">
            <v>305205.06</v>
          </cell>
        </row>
        <row r="1195">
          <cell r="X1195" t="str">
            <v>Diskové pole</v>
          </cell>
          <cell r="AB1195">
            <v>255693.74</v>
          </cell>
        </row>
        <row r="1196">
          <cell r="X1196" t="str">
            <v>Príslušenstvo</v>
          </cell>
          <cell r="AB1196">
            <v>126150.79</v>
          </cell>
        </row>
        <row r="1197">
          <cell r="X1197" t="str">
            <v>Príslušenstvo</v>
          </cell>
          <cell r="AB1197">
            <v>131295.04000000001</v>
          </cell>
        </row>
        <row r="1198">
          <cell r="X1198" t="str">
            <v>LAN smerovač</v>
          </cell>
          <cell r="AB1198">
            <v>33037.800000000003</v>
          </cell>
        </row>
        <row r="1199">
          <cell r="X1199" t="str">
            <v>LAN smerovač</v>
          </cell>
          <cell r="AB1199">
            <v>80748.240000000005</v>
          </cell>
        </row>
        <row r="1200">
          <cell r="X1200" t="str">
            <v>LAN smerovač</v>
          </cell>
          <cell r="AB1200">
            <v>162373.04999999999</v>
          </cell>
        </row>
        <row r="1201">
          <cell r="X1201" t="str">
            <v>LAN prepínač</v>
          </cell>
          <cell r="AB1201">
            <v>54764.46</v>
          </cell>
        </row>
        <row r="1202">
          <cell r="X1202" t="str">
            <v>LAN prepínač</v>
          </cell>
          <cell r="AB1202">
            <v>50815.199999999997</v>
          </cell>
        </row>
        <row r="1203">
          <cell r="X1203" t="str">
            <v>LAN prepínač</v>
          </cell>
          <cell r="AB1203">
            <v>59228.959999999999</v>
          </cell>
        </row>
        <row r="1204">
          <cell r="X1204" t="str">
            <v>LAN prepínač</v>
          </cell>
          <cell r="AB1204">
            <v>139260.26</v>
          </cell>
        </row>
        <row r="1205">
          <cell r="X1205" t="str">
            <v>LAN prepínač</v>
          </cell>
          <cell r="AB1205">
            <v>59454.31</v>
          </cell>
        </row>
        <row r="1206">
          <cell r="X1206" t="str">
            <v>LAN prepínač</v>
          </cell>
          <cell r="AB1206">
            <v>80880</v>
          </cell>
        </row>
        <row r="1207">
          <cell r="X1207" t="str">
            <v>LAN prepínač</v>
          </cell>
          <cell r="AB1207">
            <v>47394.96</v>
          </cell>
        </row>
        <row r="1208">
          <cell r="X1208" t="str">
            <v>IP telefón</v>
          </cell>
          <cell r="AB1208">
            <v>875.43</v>
          </cell>
        </row>
        <row r="1209">
          <cell r="X1209" t="str">
            <v>IP telefón</v>
          </cell>
          <cell r="AB1209">
            <v>3298</v>
          </cell>
        </row>
        <row r="1210">
          <cell r="X1210" t="str">
            <v>IP telefón</v>
          </cell>
          <cell r="AB1210">
            <v>3977</v>
          </cell>
        </row>
        <row r="1211">
          <cell r="X1211" t="str">
            <v>Smerovač / Firewall</v>
          </cell>
          <cell r="AB1211">
            <v>120942.12</v>
          </cell>
        </row>
        <row r="1212">
          <cell r="X1212" t="str">
            <v>Smerovač / Firewall</v>
          </cell>
          <cell r="AB1212">
            <v>296487.09999999998</v>
          </cell>
        </row>
        <row r="1213">
          <cell r="X1213" t="str">
            <v>Smerovač / Firewall</v>
          </cell>
          <cell r="AB1213">
            <v>390740.24</v>
          </cell>
        </row>
        <row r="1214">
          <cell r="X1214" t="str">
            <v>Smerovač / Firewall</v>
          </cell>
          <cell r="AB1214">
            <v>806012.33</v>
          </cell>
        </row>
        <row r="1215">
          <cell r="X1215" t="str">
            <v>Server</v>
          </cell>
          <cell r="AB1215">
            <v>94770</v>
          </cell>
        </row>
        <row r="1216">
          <cell r="X1216" t="str">
            <v>Príslušenstvo</v>
          </cell>
          <cell r="AB1216">
            <v>23280</v>
          </cell>
        </row>
        <row r="1217">
          <cell r="X1217" t="str">
            <v>Príslušenstvo</v>
          </cell>
          <cell r="AB1217">
            <v>1358</v>
          </cell>
        </row>
        <row r="1218">
          <cell r="X1218" t="str">
            <v>Smerovač / Firewall</v>
          </cell>
          <cell r="AB1218">
            <v>192683.76</v>
          </cell>
        </row>
        <row r="1219">
          <cell r="X1219" t="str">
            <v>Smerovač / Firewall</v>
          </cell>
          <cell r="AB1219">
            <v>262953.76</v>
          </cell>
        </row>
        <row r="1220">
          <cell r="X1220" t="str">
            <v>Príslušenstvo</v>
          </cell>
          <cell r="AB1220">
            <v>55615.86</v>
          </cell>
        </row>
        <row r="1221">
          <cell r="X1221" t="str">
            <v>Smerovač / Firewall</v>
          </cell>
          <cell r="AB1221">
            <v>246080</v>
          </cell>
        </row>
        <row r="1222">
          <cell r="X1222" t="str">
            <v>Smerovač / Firewall</v>
          </cell>
          <cell r="AB1222">
            <v>258587</v>
          </cell>
        </row>
        <row r="1223">
          <cell r="X1223" t="str">
            <v>Smerovač / Firewall</v>
          </cell>
          <cell r="AB1223">
            <v>22249.279999999999</v>
          </cell>
        </row>
        <row r="1224">
          <cell r="X1224" t="str">
            <v>Smerovač / Firewall</v>
          </cell>
          <cell r="AB1224">
            <v>43075.68</v>
          </cell>
        </row>
        <row r="1225">
          <cell r="X1225" t="str">
            <v>Smerovač / Firewall</v>
          </cell>
          <cell r="AB1225">
            <v>11411.08</v>
          </cell>
        </row>
        <row r="1226">
          <cell r="X1226" t="str">
            <v>Smerovač / Firewall</v>
          </cell>
          <cell r="AB1226">
            <v>117910.2</v>
          </cell>
        </row>
        <row r="1227">
          <cell r="X1227" t="str">
            <v>Smerovač / Firewall</v>
          </cell>
          <cell r="AB1227">
            <v>170038.6</v>
          </cell>
        </row>
        <row r="1228">
          <cell r="X1228" t="str">
            <v>Príslušenstvo</v>
          </cell>
          <cell r="AB1228">
            <v>15347.34</v>
          </cell>
        </row>
        <row r="1229">
          <cell r="X1229" t="str">
            <v>Príslušenstvo</v>
          </cell>
          <cell r="AB1229">
            <v>27359.82</v>
          </cell>
        </row>
        <row r="1230">
          <cell r="X1230" t="str">
            <v>Smerovač / Firewall</v>
          </cell>
          <cell r="AB1230">
            <v>339517.2</v>
          </cell>
        </row>
        <row r="1231">
          <cell r="X1231" t="str">
            <v>Príslušenstvo</v>
          </cell>
          <cell r="AB1231">
            <v>548535.6</v>
          </cell>
        </row>
        <row r="1232">
          <cell r="X1232" t="str">
            <v>Príslušenstvo</v>
          </cell>
          <cell r="AB1232">
            <v>54138</v>
          </cell>
        </row>
        <row r="1233">
          <cell r="X1233" t="str">
            <v>Príslušenstvo</v>
          </cell>
          <cell r="AB1233">
            <v>38011.800000000003</v>
          </cell>
        </row>
        <row r="1234">
          <cell r="X1234" t="str">
            <v>Príslušenstvo</v>
          </cell>
          <cell r="AB1234">
            <v>48378.76</v>
          </cell>
        </row>
        <row r="1235">
          <cell r="X1235" t="str">
            <v>Multi dotyková zobrazovacia jednotka</v>
          </cell>
          <cell r="AB1235">
            <v>3488</v>
          </cell>
        </row>
        <row r="1236">
          <cell r="X1236" t="str">
            <v>Počítač</v>
          </cell>
          <cell r="AB1236">
            <v>3468</v>
          </cell>
        </row>
        <row r="1237">
          <cell r="X1237" t="str">
            <v>VR okuliare</v>
          </cell>
          <cell r="AB1237">
            <v>2640</v>
          </cell>
        </row>
        <row r="1238">
          <cell r="X1238" t="str">
            <v>VR okuliare</v>
          </cell>
          <cell r="AB1238">
            <v>9200</v>
          </cell>
        </row>
        <row r="1239">
          <cell r="X1239" t="str">
            <v>VR okuliare</v>
          </cell>
          <cell r="AB1239">
            <v>2200</v>
          </cell>
        </row>
        <row r="1240">
          <cell r="X1240" t="str">
            <v>Počítač</v>
          </cell>
          <cell r="AB1240">
            <v>21600</v>
          </cell>
        </row>
        <row r="1241">
          <cell r="X1241" t="str">
            <v>Monitor</v>
          </cell>
          <cell r="AB1241">
            <v>8064</v>
          </cell>
        </row>
        <row r="1242">
          <cell r="X1242" t="str">
            <v>Klávesnica</v>
          </cell>
          <cell r="AB1242">
            <v>264</v>
          </cell>
        </row>
        <row r="1243">
          <cell r="X1243" t="str">
            <v>Myš</v>
          </cell>
          <cell r="AB1243">
            <v>168</v>
          </cell>
        </row>
        <row r="1244">
          <cell r="X1244" t="str">
            <v>Diskové pole</v>
          </cell>
          <cell r="AB1244">
            <v>4344</v>
          </cell>
        </row>
        <row r="1245">
          <cell r="X1245" t="str">
            <v>Tlačiareň</v>
          </cell>
          <cell r="AB1245">
            <v>2228</v>
          </cell>
        </row>
        <row r="1246">
          <cell r="X1246" t="str">
            <v>Tlačiareň</v>
          </cell>
          <cell r="AB1246">
            <v>3058</v>
          </cell>
        </row>
        <row r="1247">
          <cell r="X1247" t="str">
            <v>Rack</v>
          </cell>
          <cell r="AB1247">
            <v>28158</v>
          </cell>
        </row>
        <row r="1248">
          <cell r="X1248" t="str">
            <v>Server</v>
          </cell>
          <cell r="AB1248">
            <v>46495.5</v>
          </cell>
        </row>
        <row r="1249">
          <cell r="X1249" t="str">
            <v>Rozvádzač</v>
          </cell>
          <cell r="AB1249">
            <v>1400</v>
          </cell>
        </row>
        <row r="1250">
          <cell r="X1250" t="str">
            <v>Rack</v>
          </cell>
          <cell r="AB1250">
            <v>2300</v>
          </cell>
        </row>
        <row r="1251">
          <cell r="X1251" t="str">
            <v>Monitor</v>
          </cell>
          <cell r="AB1251">
            <v>1070</v>
          </cell>
        </row>
        <row r="1252">
          <cell r="X1252" t="str">
            <v>Rack</v>
          </cell>
          <cell r="AB1252">
            <v>10206.26</v>
          </cell>
        </row>
        <row r="1253">
          <cell r="X1253" t="str">
            <v>Notebook</v>
          </cell>
          <cell r="AB1253">
            <v>399750</v>
          </cell>
        </row>
        <row r="1254">
          <cell r="X1254" t="str">
            <v>Príslušenstvo</v>
          </cell>
          <cell r="AB1254">
            <v>50000</v>
          </cell>
        </row>
        <row r="1255">
          <cell r="X1255" t="str">
            <v>Klávesnica</v>
          </cell>
          <cell r="AB1255">
            <v>2500</v>
          </cell>
        </row>
        <row r="1256">
          <cell r="X1256" t="str">
            <v>Monitor</v>
          </cell>
          <cell r="AB1256">
            <v>45000</v>
          </cell>
        </row>
        <row r="1257">
          <cell r="X1257" t="str">
            <v>Server</v>
          </cell>
          <cell r="AB1257">
            <v>33200</v>
          </cell>
        </row>
        <row r="1258">
          <cell r="X1258" t="str">
            <v>LAN prepínač</v>
          </cell>
          <cell r="AB1258">
            <v>95100</v>
          </cell>
        </row>
        <row r="1259">
          <cell r="X1259" t="str">
            <v>LAN prepínač</v>
          </cell>
          <cell r="AB1259">
            <v>96700</v>
          </cell>
        </row>
        <row r="1260">
          <cell r="X1260" t="str">
            <v>Notebook</v>
          </cell>
          <cell r="AB1260">
            <v>112450</v>
          </cell>
        </row>
        <row r="1261">
          <cell r="X1261" t="str">
            <v>Monitor</v>
          </cell>
          <cell r="AB1261">
            <v>18850</v>
          </cell>
        </row>
        <row r="1262">
          <cell r="X1262" t="str">
            <v>Príslušenstvo</v>
          </cell>
          <cell r="AB1262">
            <v>20150</v>
          </cell>
        </row>
        <row r="1263">
          <cell r="X1263" t="str">
            <v>Počítač</v>
          </cell>
          <cell r="AB1263">
            <v>100243</v>
          </cell>
        </row>
        <row r="1264">
          <cell r="X1264" t="str">
            <v>Počítač</v>
          </cell>
          <cell r="AB1264">
            <v>5845</v>
          </cell>
        </row>
        <row r="1265">
          <cell r="X1265" t="str">
            <v>Monitor</v>
          </cell>
          <cell r="AB1265">
            <v>5000</v>
          </cell>
        </row>
        <row r="1266">
          <cell r="X1266" t="str">
            <v>Monitor</v>
          </cell>
          <cell r="AB1266">
            <v>2200</v>
          </cell>
        </row>
        <row r="1267">
          <cell r="X1267" t="str">
            <v>Notebook</v>
          </cell>
          <cell r="AB1267">
            <v>11640</v>
          </cell>
        </row>
        <row r="1268">
          <cell r="X1268" t="str">
            <v>Notebook</v>
          </cell>
          <cell r="AB1268">
            <v>13380</v>
          </cell>
        </row>
        <row r="1269">
          <cell r="X1269" t="str">
            <v>Multifunkčné zariadenie</v>
          </cell>
          <cell r="AB1269">
            <v>16638</v>
          </cell>
        </row>
        <row r="1270">
          <cell r="X1270" t="str">
            <v>Tlačiareň</v>
          </cell>
          <cell r="AB1270">
            <v>1932</v>
          </cell>
        </row>
        <row r="1271">
          <cell r="X1271" t="str">
            <v>Tlačiareň</v>
          </cell>
          <cell r="AB1271">
            <v>744</v>
          </cell>
        </row>
        <row r="1272">
          <cell r="X1272" t="str">
            <v>Skener</v>
          </cell>
          <cell r="AB1272">
            <v>2520</v>
          </cell>
        </row>
        <row r="1273">
          <cell r="X1273" t="str">
            <v>Pevný disk</v>
          </cell>
          <cell r="AB1273">
            <v>1425</v>
          </cell>
        </row>
        <row r="1274">
          <cell r="X1274" t="str">
            <v>USB kľúč</v>
          </cell>
          <cell r="AB1274">
            <v>165</v>
          </cell>
        </row>
        <row r="1275">
          <cell r="X1275" t="str">
            <v>Tablet</v>
          </cell>
          <cell r="AB1275">
            <v>1524000</v>
          </cell>
        </row>
        <row r="1276">
          <cell r="X1276" t="str">
            <v>Tlačiareň</v>
          </cell>
          <cell r="AB1276">
            <v>2465</v>
          </cell>
        </row>
        <row r="1277">
          <cell r="X1277" t="str">
            <v>Tlačiareň</v>
          </cell>
          <cell r="AB1277">
            <v>4550</v>
          </cell>
        </row>
        <row r="1278">
          <cell r="X1278" t="str">
            <v>Počítač</v>
          </cell>
          <cell r="AB1278">
            <v>608000</v>
          </cell>
        </row>
        <row r="1279">
          <cell r="X1279" t="str">
            <v>Počítač</v>
          </cell>
          <cell r="AB1279">
            <v>198600</v>
          </cell>
        </row>
        <row r="1280">
          <cell r="X1280" t="str">
            <v>Monitor</v>
          </cell>
          <cell r="AB1280">
            <v>133000</v>
          </cell>
        </row>
        <row r="1281">
          <cell r="X1281" t="str">
            <v>Monitor</v>
          </cell>
          <cell r="AB1281">
            <v>43800</v>
          </cell>
        </row>
        <row r="1282">
          <cell r="X1282" t="str">
            <v>Počítač</v>
          </cell>
          <cell r="AB1282">
            <v>32706</v>
          </cell>
        </row>
        <row r="1283">
          <cell r="X1283" t="str">
            <v>Tlačiareň</v>
          </cell>
          <cell r="AB1283">
            <v>20960</v>
          </cell>
        </row>
        <row r="1284">
          <cell r="X1284" t="str">
            <v>Interaktívna tabuľa</v>
          </cell>
          <cell r="AB1284">
            <v>2700</v>
          </cell>
        </row>
        <row r="1285">
          <cell r="X1285" t="str">
            <v>Projektor</v>
          </cell>
          <cell r="AB1285">
            <v>1000</v>
          </cell>
        </row>
        <row r="1286">
          <cell r="X1286" t="str">
            <v>Monitor</v>
          </cell>
          <cell r="AB1286">
            <v>15000</v>
          </cell>
        </row>
        <row r="1287">
          <cell r="X1287" t="str">
            <v>Monitor</v>
          </cell>
          <cell r="AB1287">
            <v>85000</v>
          </cell>
        </row>
        <row r="1288">
          <cell r="X1288" t="str">
            <v>Rack</v>
          </cell>
          <cell r="AB1288">
            <v>862.8</v>
          </cell>
        </row>
        <row r="1289">
          <cell r="X1289" t="str">
            <v>LAN kábel</v>
          </cell>
          <cell r="AB1289">
            <v>3000</v>
          </cell>
        </row>
        <row r="1290">
          <cell r="X1290" t="str">
            <v>LAN prepínač</v>
          </cell>
          <cell r="AB1290">
            <v>23593.599999999999</v>
          </cell>
        </row>
        <row r="1291">
          <cell r="X1291" t="str">
            <v>LAN prepínač</v>
          </cell>
          <cell r="AB1291">
            <v>69825</v>
          </cell>
        </row>
        <row r="1292">
          <cell r="X1292" t="str">
            <v>WIFI prístupový bod</v>
          </cell>
          <cell r="AB1292">
            <v>12044</v>
          </cell>
        </row>
        <row r="1293">
          <cell r="X1293" t="str">
            <v>WIFI prístupový bod</v>
          </cell>
          <cell r="AB1293">
            <v>6009.6</v>
          </cell>
        </row>
        <row r="1294">
          <cell r="X1294" t="str">
            <v>Smerovač / Firewall</v>
          </cell>
          <cell r="AB1294">
            <v>14665.8</v>
          </cell>
        </row>
        <row r="1295">
          <cell r="X1295" t="str">
            <v>Diskové pole</v>
          </cell>
          <cell r="AB1295">
            <v>206189.2</v>
          </cell>
        </row>
        <row r="1296">
          <cell r="X1296" t="str">
            <v>Diskové pole</v>
          </cell>
          <cell r="AB1296">
            <v>146782.79999999999</v>
          </cell>
        </row>
        <row r="1297">
          <cell r="X1297" t="str">
            <v>Rack s UPS</v>
          </cell>
          <cell r="AB1297">
            <v>6245.7</v>
          </cell>
        </row>
        <row r="1298">
          <cell r="X1298" t="str">
            <v>Server</v>
          </cell>
          <cell r="AB1298">
            <v>14418.3</v>
          </cell>
        </row>
        <row r="1299">
          <cell r="X1299" t="str">
            <v>Server</v>
          </cell>
          <cell r="AB1299">
            <v>5125</v>
          </cell>
        </row>
        <row r="1300">
          <cell r="X1300" t="str">
            <v>Diskové pole</v>
          </cell>
          <cell r="AB1300">
            <v>20450.099999999999</v>
          </cell>
        </row>
        <row r="1301">
          <cell r="X1301" t="str">
            <v>Zálohovacia jednotka</v>
          </cell>
          <cell r="AB1301">
            <v>2757.6</v>
          </cell>
        </row>
        <row r="1302">
          <cell r="X1302" t="str">
            <v>Smerovač / Firewall</v>
          </cell>
          <cell r="AB1302">
            <v>19153.3</v>
          </cell>
        </row>
        <row r="1303">
          <cell r="X1303" t="str">
            <v>LAN prepínač</v>
          </cell>
          <cell r="AB1303">
            <v>12780.8</v>
          </cell>
        </row>
        <row r="1304">
          <cell r="X1304" t="str">
            <v>Smerovač / Firewall</v>
          </cell>
          <cell r="AB1304">
            <v>29535.32</v>
          </cell>
        </row>
        <row r="1305">
          <cell r="X1305" t="str">
            <v>Smerovač / Firewall</v>
          </cell>
          <cell r="AB1305">
            <v>53839.72</v>
          </cell>
        </row>
        <row r="1306">
          <cell r="X1306" t="str">
            <v>Počítač</v>
          </cell>
          <cell r="AB1306">
            <v>1127000</v>
          </cell>
        </row>
        <row r="1307">
          <cell r="X1307" t="str">
            <v>Notebook</v>
          </cell>
          <cell r="AB1307">
            <v>77940</v>
          </cell>
        </row>
        <row r="1308">
          <cell r="X1308" t="str">
            <v>Notebook</v>
          </cell>
          <cell r="AB1308">
            <v>171470</v>
          </cell>
        </row>
        <row r="1309">
          <cell r="X1309" t="str">
            <v>Notebook</v>
          </cell>
          <cell r="AB1309">
            <v>18060</v>
          </cell>
        </row>
        <row r="1310">
          <cell r="X1310" t="str">
            <v>Monitor</v>
          </cell>
          <cell r="AB1310">
            <v>50697</v>
          </cell>
        </row>
        <row r="1311">
          <cell r="X1311" t="str">
            <v>Monitor</v>
          </cell>
          <cell r="AB1311">
            <v>97230</v>
          </cell>
        </row>
        <row r="1312">
          <cell r="X1312" t="str">
            <v>Monitor</v>
          </cell>
          <cell r="AB1312">
            <v>76800</v>
          </cell>
        </row>
        <row r="1313">
          <cell r="X1313" t="str">
            <v>Tlačiareň</v>
          </cell>
          <cell r="AB1313">
            <v>9765</v>
          </cell>
        </row>
        <row r="1314">
          <cell r="X1314" t="str">
            <v>Tlačiareň</v>
          </cell>
          <cell r="AB1314">
            <v>63707</v>
          </cell>
        </row>
        <row r="1315">
          <cell r="X1315" t="str">
            <v>Multifunkčné zariadenie</v>
          </cell>
          <cell r="AB1315">
            <v>20596</v>
          </cell>
        </row>
        <row r="1316">
          <cell r="X1316" t="str">
            <v>Multifunkčné zariadenie</v>
          </cell>
          <cell r="AB1316">
            <v>137370</v>
          </cell>
        </row>
        <row r="1317">
          <cell r="X1317" t="str">
            <v>Multifunkčné zariadenie</v>
          </cell>
          <cell r="AB1317">
            <v>74240</v>
          </cell>
        </row>
        <row r="1318">
          <cell r="X1318" t="str">
            <v>Počítač</v>
          </cell>
          <cell r="AB1318">
            <v>38688</v>
          </cell>
        </row>
        <row r="1319">
          <cell r="X1319" t="str">
            <v>Notebook</v>
          </cell>
          <cell r="AB1319">
            <v>4285</v>
          </cell>
        </row>
        <row r="1320">
          <cell r="X1320" t="str">
            <v>Notebook</v>
          </cell>
          <cell r="AB1320">
            <v>6462</v>
          </cell>
        </row>
        <row r="1321">
          <cell r="X1321" t="str">
            <v>Monitor</v>
          </cell>
          <cell r="AB1321">
            <v>23868</v>
          </cell>
        </row>
        <row r="1322">
          <cell r="X1322" t="str">
            <v>Multifunkčné zariadenie</v>
          </cell>
          <cell r="AB1322">
            <v>20317</v>
          </cell>
        </row>
        <row r="1323">
          <cell r="X1323" t="str">
            <v>Tlačiareň</v>
          </cell>
          <cell r="AB1323">
            <v>615</v>
          </cell>
        </row>
        <row r="1324">
          <cell r="X1324" t="str">
            <v>Optická mechanika</v>
          </cell>
          <cell r="AB1324">
            <v>580</v>
          </cell>
        </row>
        <row r="1325">
          <cell r="X1325" t="str">
            <v>Pevný disk</v>
          </cell>
          <cell r="AB1325">
            <v>312</v>
          </cell>
        </row>
        <row r="1326">
          <cell r="X1326" t="str">
            <v>USB kľúč</v>
          </cell>
          <cell r="AB1326">
            <v>154</v>
          </cell>
        </row>
        <row r="1327">
          <cell r="X1327" t="str">
            <v>Webová kamera</v>
          </cell>
          <cell r="AB1327">
            <v>370</v>
          </cell>
        </row>
        <row r="1328">
          <cell r="X1328" t="str">
            <v>PC reproduktory</v>
          </cell>
          <cell r="AB1328">
            <v>300</v>
          </cell>
        </row>
        <row r="1329">
          <cell r="X1329" t="str">
            <v>Príslušenstvo</v>
          </cell>
          <cell r="AB1329">
            <v>312</v>
          </cell>
        </row>
        <row r="1330">
          <cell r="X1330" t="str">
            <v>Server</v>
          </cell>
          <cell r="AB1330">
            <v>71400</v>
          </cell>
        </row>
        <row r="1331">
          <cell r="X1331" t="str">
            <v>Server</v>
          </cell>
          <cell r="AB1331">
            <v>20455.2</v>
          </cell>
        </row>
        <row r="1332">
          <cell r="X1332" t="str">
            <v>Server</v>
          </cell>
          <cell r="AB1332">
            <v>46432</v>
          </cell>
        </row>
        <row r="1333">
          <cell r="X1333" t="str">
            <v>LAN prepínač</v>
          </cell>
          <cell r="AB1333">
            <v>37507.199999999997</v>
          </cell>
        </row>
        <row r="1334">
          <cell r="X1334" t="str">
            <v>SAN prepínač</v>
          </cell>
          <cell r="AB1334">
            <v>14793.6</v>
          </cell>
        </row>
        <row r="1335">
          <cell r="X1335" t="str">
            <v>Záložný zdroj</v>
          </cell>
          <cell r="AB1335">
            <v>31233.599999999999</v>
          </cell>
        </row>
        <row r="1336">
          <cell r="X1336" t="str">
            <v>Počítač</v>
          </cell>
          <cell r="AB1336">
            <v>33005</v>
          </cell>
        </row>
        <row r="1337">
          <cell r="X1337" t="str">
            <v>Počítač</v>
          </cell>
          <cell r="AB1337">
            <v>39800</v>
          </cell>
        </row>
        <row r="1338">
          <cell r="X1338" t="str">
            <v>Notebook</v>
          </cell>
          <cell r="AB1338">
            <v>4047</v>
          </cell>
        </row>
        <row r="1339">
          <cell r="X1339" t="str">
            <v>Notebook</v>
          </cell>
          <cell r="AB1339">
            <v>1506.5</v>
          </cell>
        </row>
        <row r="1340">
          <cell r="X1340" t="str">
            <v>Monitor</v>
          </cell>
          <cell r="AB1340">
            <v>7339</v>
          </cell>
        </row>
        <row r="1341">
          <cell r="X1341" t="str">
            <v>Monitor</v>
          </cell>
          <cell r="AB1341">
            <v>8880</v>
          </cell>
        </row>
        <row r="1342">
          <cell r="X1342" t="str">
            <v>Tlačiareň</v>
          </cell>
          <cell r="AB1342">
            <v>4986</v>
          </cell>
        </row>
        <row r="1343">
          <cell r="X1343" t="str">
            <v>Multifunkčné zariadenie</v>
          </cell>
          <cell r="AB1343">
            <v>8078</v>
          </cell>
        </row>
        <row r="1344">
          <cell r="X1344" t="str">
            <v>Multifunkčné zariadenie</v>
          </cell>
          <cell r="AB1344">
            <v>4916</v>
          </cell>
        </row>
        <row r="1345">
          <cell r="X1345" t="str">
            <v>Multifunkčné zariadenie</v>
          </cell>
          <cell r="AB1345">
            <v>59020</v>
          </cell>
        </row>
        <row r="1346">
          <cell r="X1346" t="str">
            <v>Multifunkčné zariadenie</v>
          </cell>
          <cell r="AB1346">
            <v>52575</v>
          </cell>
        </row>
        <row r="1347">
          <cell r="X1347" t="str">
            <v>Počítač</v>
          </cell>
          <cell r="AB1347">
            <v>59085</v>
          </cell>
        </row>
        <row r="1348">
          <cell r="X1348" t="str">
            <v>Monitor</v>
          </cell>
          <cell r="AB1348">
            <v>14715</v>
          </cell>
        </row>
        <row r="1349">
          <cell r="X1349" t="str">
            <v>Počítač</v>
          </cell>
          <cell r="AB1349">
            <v>7000</v>
          </cell>
        </row>
        <row r="1350">
          <cell r="X1350" t="str">
            <v>Optická mechanika</v>
          </cell>
          <cell r="AB1350">
            <v>190</v>
          </cell>
        </row>
        <row r="1351">
          <cell r="X1351" t="str">
            <v>RAM</v>
          </cell>
          <cell r="AB1351">
            <v>2392</v>
          </cell>
        </row>
        <row r="1352">
          <cell r="X1352" t="str">
            <v>Multifunkčné zariadenie</v>
          </cell>
          <cell r="AB1352">
            <v>3440</v>
          </cell>
        </row>
        <row r="1353">
          <cell r="X1353" t="str">
            <v>Tlačiareň</v>
          </cell>
          <cell r="AB1353">
            <v>7700</v>
          </cell>
        </row>
        <row r="1354">
          <cell r="X1354" t="str">
            <v>Pevný disk</v>
          </cell>
          <cell r="AB1354">
            <v>844</v>
          </cell>
        </row>
        <row r="1355">
          <cell r="X1355" t="str">
            <v>Radič diskov</v>
          </cell>
          <cell r="AB1355">
            <v>410</v>
          </cell>
        </row>
        <row r="1356">
          <cell r="X1356" t="str">
            <v>Sieťová karta</v>
          </cell>
          <cell r="AB1356">
            <v>529</v>
          </cell>
        </row>
        <row r="1357">
          <cell r="X1357" t="str">
            <v>LAN smerovač</v>
          </cell>
          <cell r="AB1357">
            <v>289</v>
          </cell>
        </row>
        <row r="1358">
          <cell r="X1358" t="str">
            <v>LAN smerovač / prepínač</v>
          </cell>
          <cell r="AB1358">
            <v>342</v>
          </cell>
        </row>
        <row r="1359">
          <cell r="X1359" t="str">
            <v>Príslušenstvo</v>
          </cell>
          <cell r="AB1359">
            <v>408</v>
          </cell>
        </row>
        <row r="1360">
          <cell r="X1360" t="str">
            <v>Sieťová karta</v>
          </cell>
          <cell r="AB1360">
            <v>318</v>
          </cell>
        </row>
        <row r="1361">
          <cell r="X1361" t="str">
            <v>Monitor</v>
          </cell>
          <cell r="AB1361">
            <v>924</v>
          </cell>
        </row>
        <row r="1362">
          <cell r="X1362" t="str">
            <v>WIFI prístupový bod</v>
          </cell>
          <cell r="AB1362">
            <v>1230</v>
          </cell>
        </row>
        <row r="1363">
          <cell r="X1363" t="str">
            <v>Multifunkčné zariadenie</v>
          </cell>
          <cell r="AB1363">
            <v>399</v>
          </cell>
        </row>
        <row r="1364">
          <cell r="X1364" t="str">
            <v>Počítač</v>
          </cell>
          <cell r="AB1364">
            <v>6084</v>
          </cell>
        </row>
        <row r="1365">
          <cell r="X1365" t="str">
            <v>LAN smerovač / prepínač</v>
          </cell>
          <cell r="AB1365">
            <v>686</v>
          </cell>
        </row>
        <row r="1366">
          <cell r="X1366" t="str">
            <v>Notebook</v>
          </cell>
          <cell r="AB1366">
            <v>3591</v>
          </cell>
        </row>
        <row r="1367">
          <cell r="X1367" t="str">
            <v>Príslušenstvo</v>
          </cell>
          <cell r="AB1367">
            <v>77</v>
          </cell>
        </row>
        <row r="1368">
          <cell r="X1368" t="str">
            <v>LAN smerovač</v>
          </cell>
          <cell r="AB1368">
            <v>1214.1000000000001</v>
          </cell>
        </row>
        <row r="1369">
          <cell r="X1369" t="str">
            <v>Sieťová karta</v>
          </cell>
          <cell r="AB1369">
            <v>292.5</v>
          </cell>
        </row>
        <row r="1370">
          <cell r="X1370" t="str">
            <v>WIFI opakovač</v>
          </cell>
          <cell r="AB1370">
            <v>779.04</v>
          </cell>
        </row>
        <row r="1371">
          <cell r="X1371" t="str">
            <v>WIFI prístupový bod</v>
          </cell>
          <cell r="AB1371">
            <v>745.19999999999993</v>
          </cell>
        </row>
        <row r="1372">
          <cell r="X1372" t="str">
            <v>LAN kábel</v>
          </cell>
          <cell r="AB1372">
            <v>1852.2000000000003</v>
          </cell>
        </row>
        <row r="1373">
          <cell r="X1373" t="str">
            <v>LAN kábel</v>
          </cell>
          <cell r="AB1373">
            <v>285.22000000000003</v>
          </cell>
        </row>
        <row r="1374">
          <cell r="X1374" t="str">
            <v>LAN prepínač</v>
          </cell>
          <cell r="AB1374">
            <v>1029.28</v>
          </cell>
        </row>
        <row r="1375">
          <cell r="X1375" t="str">
            <v>Záložný zdroj</v>
          </cell>
          <cell r="AB1375">
            <v>7677.97</v>
          </cell>
        </row>
        <row r="1376">
          <cell r="X1376" t="str">
            <v>Powerbanka</v>
          </cell>
          <cell r="AB1376">
            <v>1255.2</v>
          </cell>
        </row>
        <row r="1377">
          <cell r="X1377" t="str">
            <v>Myš</v>
          </cell>
          <cell r="AB1377">
            <v>1907.0400000000002</v>
          </cell>
        </row>
        <row r="1378">
          <cell r="X1378" t="str">
            <v>Myš</v>
          </cell>
          <cell r="AB1378">
            <v>1349.5800000000002</v>
          </cell>
        </row>
        <row r="1379">
          <cell r="X1379" t="str">
            <v>Klávesnica</v>
          </cell>
          <cell r="AB1379">
            <v>2613.6</v>
          </cell>
        </row>
        <row r="1380">
          <cell r="X1380" t="str">
            <v>Myš</v>
          </cell>
          <cell r="AB1380">
            <v>3036.15</v>
          </cell>
        </row>
        <row r="1381">
          <cell r="X1381" t="str">
            <v>Príslušenstvo</v>
          </cell>
          <cell r="AB1381">
            <v>597.78</v>
          </cell>
        </row>
        <row r="1382">
          <cell r="X1382" t="str">
            <v>PC reproduktory</v>
          </cell>
          <cell r="AB1382">
            <v>1627.92</v>
          </cell>
        </row>
        <row r="1383">
          <cell r="X1383" t="str">
            <v>Slúchadlá s mikrofónom</v>
          </cell>
          <cell r="AB1383">
            <v>891.66</v>
          </cell>
        </row>
        <row r="1384">
          <cell r="X1384" t="str">
            <v>Čítačka pamäťových kariet</v>
          </cell>
          <cell r="AB1384">
            <v>401.38</v>
          </cell>
        </row>
        <row r="1385">
          <cell r="X1385" t="str">
            <v>USB hub</v>
          </cell>
          <cell r="AB1385">
            <v>622.44000000000005</v>
          </cell>
        </row>
        <row r="1386">
          <cell r="X1386" t="str">
            <v>Príslušenstvo</v>
          </cell>
          <cell r="AB1386">
            <v>2005.5</v>
          </cell>
        </row>
        <row r="1387">
          <cell r="X1387" t="str">
            <v>Optická mechanika</v>
          </cell>
          <cell r="AB1387">
            <v>1497.6499999999999</v>
          </cell>
        </row>
        <row r="1388">
          <cell r="X1388" t="str">
            <v>Pevný disk</v>
          </cell>
          <cell r="AB1388">
            <v>9413</v>
          </cell>
        </row>
        <row r="1389">
          <cell r="X1389" t="str">
            <v>USB kľúč</v>
          </cell>
          <cell r="AB1389">
            <v>4408.8599999999997</v>
          </cell>
        </row>
        <row r="1390">
          <cell r="X1390" t="str">
            <v>USB kľúč</v>
          </cell>
          <cell r="AB1390">
            <v>11880</v>
          </cell>
        </row>
        <row r="1391">
          <cell r="X1391" t="str">
            <v>Pamäťová karta</v>
          </cell>
          <cell r="AB1391">
            <v>505.99999999999994</v>
          </cell>
        </row>
        <row r="1392">
          <cell r="X1392" t="str">
            <v>Čítačka pamäťových kariet</v>
          </cell>
          <cell r="AB1392">
            <v>312</v>
          </cell>
        </row>
        <row r="1393">
          <cell r="X1393" t="str">
            <v>Príslušenstvo</v>
          </cell>
          <cell r="AB1393">
            <v>329.36</v>
          </cell>
        </row>
        <row r="1394">
          <cell r="X1394" t="str">
            <v>Pevný disk</v>
          </cell>
          <cell r="AB1394">
            <v>5070</v>
          </cell>
        </row>
        <row r="1395">
          <cell r="X1395" t="str">
            <v>Pevný disk</v>
          </cell>
          <cell r="AB1395">
            <v>908.55000000000007</v>
          </cell>
        </row>
        <row r="1396">
          <cell r="X1396" t="str">
            <v>Pamäťová karta</v>
          </cell>
          <cell r="AB1396">
            <v>412.92</v>
          </cell>
        </row>
        <row r="1397">
          <cell r="X1397" t="str">
            <v>Pevný disk</v>
          </cell>
          <cell r="AB1397">
            <v>2454.7999999999997</v>
          </cell>
        </row>
        <row r="1398">
          <cell r="X1398" t="str">
            <v>Klávesnica a myš</v>
          </cell>
          <cell r="AB1398">
            <v>368.1</v>
          </cell>
        </row>
        <row r="1399">
          <cell r="X1399" t="str">
            <v>USB hub</v>
          </cell>
          <cell r="AB1399">
            <v>36.94</v>
          </cell>
        </row>
        <row r="1400">
          <cell r="X1400" t="str">
            <v>Myš</v>
          </cell>
          <cell r="AB1400">
            <v>104.3</v>
          </cell>
        </row>
        <row r="1401">
          <cell r="X1401" t="str">
            <v>RAM</v>
          </cell>
          <cell r="AB1401">
            <v>2264</v>
          </cell>
        </row>
        <row r="1402">
          <cell r="X1402" t="str">
            <v>RAM</v>
          </cell>
          <cell r="AB1402">
            <v>2537</v>
          </cell>
        </row>
        <row r="1403">
          <cell r="X1403" t="str">
            <v>RAM</v>
          </cell>
          <cell r="AB1403">
            <v>9106.08</v>
          </cell>
        </row>
        <row r="1404">
          <cell r="X1404" t="str">
            <v>Server</v>
          </cell>
          <cell r="AB1404">
            <v>77487.48</v>
          </cell>
        </row>
        <row r="1405">
          <cell r="X1405" t="str">
            <v>Server</v>
          </cell>
          <cell r="AB1405">
            <v>37561.49</v>
          </cell>
        </row>
        <row r="1406">
          <cell r="X1406" t="str">
            <v>Server</v>
          </cell>
          <cell r="AB1406">
            <v>21826.880000000001</v>
          </cell>
        </row>
        <row r="1407">
          <cell r="X1407" t="str">
            <v>SAN prepínač</v>
          </cell>
          <cell r="AB1407">
            <v>38774.14</v>
          </cell>
        </row>
        <row r="1408">
          <cell r="X1408" t="str">
            <v>LAN prepínač</v>
          </cell>
          <cell r="AB1408">
            <v>91950.18</v>
          </cell>
        </row>
        <row r="1409">
          <cell r="X1409" t="str">
            <v>Monitor</v>
          </cell>
          <cell r="AB1409">
            <v>4244</v>
          </cell>
        </row>
        <row r="1410">
          <cell r="X1410" t="str">
            <v>Počítač</v>
          </cell>
          <cell r="AB1410">
            <v>12902</v>
          </cell>
        </row>
        <row r="1411">
          <cell r="X1411" t="str">
            <v>Notebook</v>
          </cell>
          <cell r="AB1411">
            <v>125160</v>
          </cell>
        </row>
        <row r="1412">
          <cell r="X1412" t="str">
            <v>Tablet</v>
          </cell>
          <cell r="AB1412">
            <v>5240</v>
          </cell>
        </row>
        <row r="1413">
          <cell r="X1413" t="str">
            <v>Počítač</v>
          </cell>
          <cell r="AB1413">
            <v>56990</v>
          </cell>
        </row>
        <row r="1414">
          <cell r="X1414" t="str">
            <v>Tlačiareň</v>
          </cell>
          <cell r="AB1414">
            <v>23000</v>
          </cell>
        </row>
        <row r="1415">
          <cell r="X1415" t="str">
            <v>Multifunkčné zariadenie</v>
          </cell>
          <cell r="AB1415">
            <v>4025</v>
          </cell>
        </row>
        <row r="1416">
          <cell r="X1416" t="str">
            <v>Multifunkčné zariadenie</v>
          </cell>
          <cell r="AB1416">
            <v>59400</v>
          </cell>
        </row>
        <row r="1417">
          <cell r="X1417" t="str">
            <v>Čítačka čiarových kódov</v>
          </cell>
          <cell r="AB1417">
            <v>560</v>
          </cell>
        </row>
        <row r="1418">
          <cell r="X1418" t="str">
            <v>Server</v>
          </cell>
          <cell r="AB1418">
            <v>153266.63999999998</v>
          </cell>
        </row>
        <row r="1419">
          <cell r="X1419" t="str">
            <v>Počítač</v>
          </cell>
          <cell r="AB1419">
            <v>59688</v>
          </cell>
        </row>
        <row r="1420">
          <cell r="X1420" t="str">
            <v>Notebook</v>
          </cell>
          <cell r="AB1420">
            <v>14238</v>
          </cell>
        </row>
        <row r="1421">
          <cell r="X1421" t="str">
            <v>Monitor</v>
          </cell>
          <cell r="AB1421">
            <v>9432</v>
          </cell>
        </row>
        <row r="1422">
          <cell r="X1422" t="str">
            <v>Sieťová karta</v>
          </cell>
          <cell r="AB1422">
            <v>1100</v>
          </cell>
        </row>
        <row r="1423">
          <cell r="X1423" t="str">
            <v>Skener</v>
          </cell>
          <cell r="AB1423">
            <v>37850</v>
          </cell>
        </row>
        <row r="1424">
          <cell r="X1424" t="str">
            <v>Ploter</v>
          </cell>
          <cell r="AB1424">
            <v>5700</v>
          </cell>
        </row>
        <row r="1425">
          <cell r="X1425" t="str">
            <v>LAN prepínač</v>
          </cell>
          <cell r="AB1425">
            <v>55259.1</v>
          </cell>
        </row>
        <row r="1426">
          <cell r="X1426" t="str">
            <v>Príslušenstvo</v>
          </cell>
          <cell r="AB1426">
            <v>6883.2</v>
          </cell>
        </row>
        <row r="1427">
          <cell r="X1427" t="str">
            <v>Príslušenstvo</v>
          </cell>
          <cell r="AB1427">
            <v>4219.2000000000007</v>
          </cell>
        </row>
        <row r="1428">
          <cell r="X1428" t="str">
            <v>Príslušenstvo</v>
          </cell>
          <cell r="AB1428">
            <v>347.5</v>
          </cell>
        </row>
        <row r="1429">
          <cell r="X1429" t="str">
            <v>Patch panel</v>
          </cell>
          <cell r="AB1429">
            <v>1858.5</v>
          </cell>
        </row>
        <row r="1430">
          <cell r="X1430" t="str">
            <v>WIFI prístupový bod</v>
          </cell>
          <cell r="AB1430">
            <v>17703.400000000001</v>
          </cell>
        </row>
        <row r="1431">
          <cell r="X1431" t="str">
            <v>WIFI ovládač mobility</v>
          </cell>
          <cell r="AB1431">
            <v>17235.3</v>
          </cell>
        </row>
        <row r="1432">
          <cell r="X1432" t="str">
            <v>Počítač</v>
          </cell>
          <cell r="AB1432">
            <v>110000</v>
          </cell>
        </row>
        <row r="1433">
          <cell r="X1433" t="str">
            <v>Mobilný telefón</v>
          </cell>
          <cell r="AB1433">
            <v>75000</v>
          </cell>
        </row>
        <row r="1434">
          <cell r="X1434" t="str">
            <v>Čítačka čiarových kódov</v>
          </cell>
          <cell r="AB1434">
            <v>18000</v>
          </cell>
        </row>
        <row r="1435">
          <cell r="X1435" t="str">
            <v>Čítačka dokladov</v>
          </cell>
          <cell r="AB1435">
            <v>208000</v>
          </cell>
        </row>
        <row r="1436">
          <cell r="X1436" t="str">
            <v>Príslušenstvo</v>
          </cell>
          <cell r="AB1436">
            <v>40000</v>
          </cell>
        </row>
        <row r="1437">
          <cell r="X1437" t="str">
            <v>Podpisový tablet</v>
          </cell>
          <cell r="AB1437">
            <v>35000</v>
          </cell>
        </row>
        <row r="1438">
          <cell r="X1438" t="str">
            <v>Príslušenstvo</v>
          </cell>
          <cell r="AB1438">
            <v>6800</v>
          </cell>
        </row>
        <row r="1439">
          <cell r="X1439" t="str">
            <v>Multifunkčné zariadenie</v>
          </cell>
          <cell r="AB1439">
            <v>4386200</v>
          </cell>
        </row>
        <row r="1440">
          <cell r="X1440" t="str">
            <v>Počítač</v>
          </cell>
          <cell r="AB1440">
            <v>39247.199999999997</v>
          </cell>
        </row>
        <row r="1441">
          <cell r="X1441" t="str">
            <v>Počítač</v>
          </cell>
          <cell r="AB1441">
            <v>183240</v>
          </cell>
        </row>
        <row r="1442">
          <cell r="X1442" t="str">
            <v>Multifunkčné zariadenie</v>
          </cell>
          <cell r="AB1442">
            <v>25152</v>
          </cell>
        </row>
        <row r="1443">
          <cell r="X1443" t="str">
            <v>Počítač</v>
          </cell>
          <cell r="AB1443">
            <v>8779.1999999999989</v>
          </cell>
        </row>
        <row r="1444">
          <cell r="X1444" t="str">
            <v>Tlačiareň</v>
          </cell>
          <cell r="AB1444">
            <v>7200</v>
          </cell>
        </row>
        <row r="1445">
          <cell r="X1445" t="str">
            <v>Notebook</v>
          </cell>
          <cell r="AB1445">
            <v>9288</v>
          </cell>
        </row>
        <row r="1446">
          <cell r="X1446" t="str">
            <v>Projektor</v>
          </cell>
          <cell r="AB1446">
            <v>1200</v>
          </cell>
        </row>
        <row r="1447">
          <cell r="X1447" t="str">
            <v>Interaktívna tabuľa</v>
          </cell>
          <cell r="AB1447">
            <v>3240</v>
          </cell>
        </row>
        <row r="1448">
          <cell r="X1448" t="str">
            <v>Pevný disk</v>
          </cell>
          <cell r="AB1448">
            <v>56166</v>
          </cell>
        </row>
        <row r="1449">
          <cell r="X1449" t="str">
            <v>Rack</v>
          </cell>
          <cell r="AB1449">
            <v>9696</v>
          </cell>
        </row>
        <row r="1450">
          <cell r="X1450" t="str">
            <v>Príslušenstvo</v>
          </cell>
          <cell r="AB1450">
            <v>3768</v>
          </cell>
        </row>
        <row r="1451">
          <cell r="X1451" t="str">
            <v>Pevný disk</v>
          </cell>
          <cell r="AB1451">
            <v>9972</v>
          </cell>
        </row>
        <row r="1452">
          <cell r="X1452" t="str">
            <v>Pevný disk</v>
          </cell>
          <cell r="AB1452">
            <v>56166</v>
          </cell>
        </row>
        <row r="1453">
          <cell r="X1453" t="str">
            <v>Rack</v>
          </cell>
          <cell r="AB1453">
            <v>9696</v>
          </cell>
        </row>
        <row r="1454">
          <cell r="X1454" t="str">
            <v>Príslušenstvo</v>
          </cell>
          <cell r="AB1454">
            <v>25584</v>
          </cell>
        </row>
        <row r="1455">
          <cell r="X1455" t="str">
            <v>Pevný disk</v>
          </cell>
          <cell r="AB1455">
            <v>5202</v>
          </cell>
        </row>
        <row r="1456">
          <cell r="X1456" t="str">
            <v>Multifunkčné zariadenie</v>
          </cell>
          <cell r="AB1456">
            <v>2958</v>
          </cell>
        </row>
        <row r="1457">
          <cell r="X1457" t="str">
            <v>Multifunkčné zariadenie</v>
          </cell>
          <cell r="AB1457">
            <v>5460</v>
          </cell>
        </row>
        <row r="1458">
          <cell r="X1458" t="str">
            <v>Počítač</v>
          </cell>
          <cell r="AB1458">
            <v>238320</v>
          </cell>
        </row>
        <row r="1459">
          <cell r="X1459" t="str">
            <v>Monitor</v>
          </cell>
          <cell r="AB1459">
            <v>159600</v>
          </cell>
        </row>
        <row r="1460">
          <cell r="X1460" t="str">
            <v>Monitor</v>
          </cell>
          <cell r="AB1460">
            <v>52560</v>
          </cell>
        </row>
      </sheetData>
      <sheetData sheetId="2">
        <row r="183">
          <cell r="A183">
            <v>6785242.8266666662</v>
          </cell>
        </row>
      </sheetData>
      <sheetData sheetId="3">
        <row r="183">
          <cell r="A183">
            <v>7433</v>
          </cell>
        </row>
      </sheetData>
      <sheetData sheetId="4">
        <row r="183">
          <cell r="A183">
            <v>114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hanyi, Marián" refreshedDate="44956.443904976855" createdVersion="6" refreshedVersion="6" minRefreshableVersion="3" recordCount="1458">
  <cacheSource type="worksheet">
    <worksheetSource ref="A2:M1460" sheet="data"/>
  </cacheSource>
  <cacheFields count="13">
    <cacheField name="P.č." numFmtId="0">
      <sharedItems containsSemiMixedTypes="0" containsString="0" containsNumber="1" containsInteger="1" minValue="1" maxValue="1424"/>
    </cacheField>
    <cacheField name="Nazov" numFmtId="0">
      <sharedItems/>
    </cacheField>
    <cacheField name="ID" numFmtId="0">
      <sharedItems containsSemiMixedTypes="0" containsString="0" containsNumber="1" containsInteger="1" minValue="3837591" maxValue="6213547"/>
    </cacheField>
    <cacheField name="CRZ_link" numFmtId="0">
      <sharedItems/>
    </cacheField>
    <cacheField name="Prilohy_odkazy" numFmtId="0">
      <sharedItems/>
    </cacheField>
    <cacheField name="Skupina_HW" numFmtId="0">
      <sharedItems count="77">
        <s v="Počítač"/>
        <s v="Notebook"/>
        <s v="Monitor"/>
        <s v="Tlačiareň"/>
        <s v="Multifunkčné zariadenie"/>
        <s v="Príslušenstvo"/>
        <s v="Skener"/>
        <s v="Projektor"/>
        <s v="Server"/>
        <s v="Diskové pole"/>
        <s v="Rack"/>
        <s v="Záložný zdroj"/>
        <s v="Tablet"/>
        <s v="Ploter"/>
        <s v="Pevný disk"/>
        <s v="PC zdroj"/>
        <s v="RAM"/>
        <s v="Grafická karta"/>
        <s v="LAN Prepínač"/>
        <s v="WIFI prístupový bod"/>
        <s v="Základná doska"/>
        <s v="Procesor"/>
        <s v="Chladič"/>
        <s v="Sieťová karta"/>
        <s v="Zvuková karta"/>
        <s v="Rozširujúca karta USB"/>
        <s v="Server RAM"/>
        <s v="PC skrinka"/>
        <s v="Powerbanka"/>
        <s v="Univerzálny zdroj pre NB"/>
        <s v="Optická mechanika"/>
        <s v="LAN kábel"/>
        <s v="USB kľúč"/>
        <s v="USB hub"/>
        <s v="Patch panel"/>
        <s v="Webová kamera"/>
        <s v="IP kamera"/>
        <s v="Čítačka pamäťových kariet"/>
        <s v="Myš"/>
        <s v="Klávesnica"/>
        <s v="Akumulátor pre záložný zdroj"/>
        <s v="Čítačka čiarových kódov"/>
        <s v="PC reproduktory"/>
        <s v="SW DataCenter Node"/>
        <s v="Zálohovacia jednotka"/>
        <s v="Jednotka distribúcie napájania"/>
        <s v="FibreChannel karta"/>
        <s v="Smerovač / Firewall"/>
        <s v="SAN prepínač"/>
        <s v="LED TV"/>
        <s v="Interaktívna tabuľa"/>
        <s v="Mobilný telefón"/>
        <s v="Skartovačka"/>
        <s v="Modulárny LAN prepínač + smerovač"/>
        <s v="IP telefón"/>
        <s v="Videokonferenčné zariadenie"/>
        <s v="3D tlačiareň"/>
        <s v="Veľkoplošný displej"/>
        <s v="Polohovací tablet"/>
        <s v="VR okuliare"/>
        <s v="Integrované technol. zariadenie"/>
        <s v="Jednodoskový počítač"/>
        <s v="Pamäťová karta"/>
        <s v="Modem"/>
        <s v="Dátový rozvádzač"/>
        <s v="Klávesnica a myš"/>
        <s v="LAN smerovač"/>
        <s v="Multi dotyková zobrazovacia jednotka"/>
        <s v="Rozvádzač"/>
        <s v="Rack s UPS"/>
        <s v="Radič diskov"/>
        <s v="LAN smerovač / prepínač"/>
        <s v="WIFI opakovač"/>
        <s v="Slúchadlá s mikrofónom"/>
        <s v="WIFI ovládač mobility"/>
        <s v="Čítačka dokladov"/>
        <s v="Podpisový tablet"/>
      </sharedItems>
    </cacheField>
    <cacheField name="Popis_polozky" numFmtId="0">
      <sharedItems longText="1"/>
    </cacheField>
    <cacheField name="Jednotková cena - EUR bez DPH" numFmtId="0">
      <sharedItems containsSemiMixedTypes="0" containsString="0" containsNumber="1" minValue="1.85" maxValue="806012.33"/>
    </cacheField>
    <cacheField name="Množstvo" numFmtId="0">
      <sharedItems containsSemiMixedTypes="0" containsString="0" containsNumber="1" minValue="1" maxValue="6000"/>
    </cacheField>
    <cacheField name="Cena spolu - € bez DPH" numFmtId="4">
      <sharedItems containsSemiMixedTypes="0" containsString="0" containsNumber="1" minValue="6.8" maxValue="4386200"/>
    </cacheField>
    <cacheField name="Dolný kvartil podľa skupiny" numFmtId="3">
      <sharedItems containsSemiMixedTypes="0" containsString="0" containsNumber="1" minValue="4.25" maxValue="393885.2"/>
    </cacheField>
    <cacheField name="Medián podľa skupiny" numFmtId="3">
      <sharedItems containsSemiMixedTypes="0" containsString="0" containsNumber="1" minValue="6.12" maxValue="418005.2"/>
    </cacheField>
    <cacheField name="Horný kvartil podľa skupiny" numFmtId="3">
      <sharedItems containsSemiMixedTypes="0" containsString="0" containsNumber="1" minValue="6.9" maxValue="442125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8">
  <r>
    <n v="1"/>
    <s v="Rámcová dohoda"/>
    <n v="5454518"/>
    <s v="https://crz.gov.sk/zmluva/5454518"/>
    <s v="https://www.crz.gov.sk/data/att/2706095.pdf"/>
    <x v="0"/>
    <s v="Typ: Dell OptiPlex 5070SFF,Proc: PGold-G5420 passmark 3595,RAM: 8GB,Disk: HDD 500GB,VGA: zdiel,OS: Win10Pro,klávesnica,myš,DVD,TPM,Zaruka: 3"/>
    <n v="574"/>
    <n v="150"/>
    <n v="86100"/>
    <n v="680"/>
    <n v="991"/>
    <n v="1485.8333333333335"/>
  </r>
  <r>
    <n v="2"/>
    <s v="Rámcová dohoda"/>
    <n v="5454518"/>
    <s v="https://crz.gov.sk/zmluva/5454518"/>
    <s v="https://www.crz.gov.sk/data/att/2706095.pdf"/>
    <x v="0"/>
    <s v="Typ: HP ProDesk 600 G5 SFF,Proc: i7-8700 passmark 13013,RAM: 16GB,Disk: HDD 1TB,VGA: zdiel,OS: Win10Pro,klávesnica,myš,DVD,TPM,Zaruka: 3"/>
    <n v="811"/>
    <n v="100"/>
    <n v="81100"/>
    <n v="680"/>
    <n v="991"/>
    <n v="1485.8333333333335"/>
  </r>
  <r>
    <n v="3"/>
    <s v="Rámcová dohoda"/>
    <n v="5454518"/>
    <s v="https://crz.gov.sk/zmluva/5454518"/>
    <s v="https://www.crz.gov.sk/data/att/2706095.pdf"/>
    <x v="1"/>
    <s v="Typ: HP EliteBook 848 G8,Proc:AMD Ryzen 5 PRO 5650U passmark 15232,RAM: 8GB,Disk: SSD NVMe 512GB,VGA: zdiel, Disp: FHD,OS: Win10Pro,podsv. klávesnica,myš,TPM,dokovacia stanica,Zaruka: 3"/>
    <n v="1008"/>
    <n v="50"/>
    <n v="50400"/>
    <n v="783.15"/>
    <n v="1196.3"/>
    <n v="1455.5"/>
  </r>
  <r>
    <n v="4"/>
    <s v="Rámcová dohoda"/>
    <n v="5454518"/>
    <s v="https://crz.gov.sk/zmluva/5454518"/>
    <s v="https://www.crz.gov.sk/data/att/2706095.pdf"/>
    <x v="1"/>
    <s v="Typ: HP ProBook 650 G8,Proc: i5-1135G7 passmark 10077, RAM: 4GB,Disk:SSD NVMe 512GB,VGA: zdiel, Disp: FHD,OS: Win10Pro,podsv. klávesnica,myš,DVD,TPM,dokovacia stanica,Zaruka: 3"/>
    <n v="911"/>
    <n v="50"/>
    <n v="45550"/>
    <n v="783.15"/>
    <n v="1196.3"/>
    <n v="1455.5"/>
  </r>
  <r>
    <n v="5"/>
    <s v="Rámcová dohoda"/>
    <n v="5454518"/>
    <s v="https://crz.gov.sk/zmluva/5454518"/>
    <s v="https://www.crz.gov.sk/data/att/2706095.pdf"/>
    <x v="1"/>
    <s v="Typ: HP EliteBook x360 830 G6,Proc: i5-8365U passmark 6237,RAM: 16GB,Disk: SSD NVMe 512GB,VGA: zdiel, Disp: FHD,OS: Win10Pro,podsv. klávesnica, myš,TPM,dokovacia stanica,Zaruka: 3"/>
    <n v="1551"/>
    <n v="30"/>
    <n v="46530"/>
    <n v="783.15"/>
    <n v="1196.3"/>
    <n v="1455.5"/>
  </r>
  <r>
    <n v="6"/>
    <s v="Rámcová dohoda"/>
    <n v="5454518"/>
    <s v="https://crz.gov.sk/zmluva/5454518"/>
    <s v="https://www.crz.gov.sk/data/att/2706095.pdf"/>
    <x v="2"/>
    <s v="Typ: Dell P2422H,Rozlisenie: 1920x1080,Frekv: 60 Hz,Velkost: 23,8&quot;,Kontrast: 1000:1,Vstupy: VGA,DP,HDMI,matný, nastaviteľný,Zaruka: 3"/>
    <n v="143"/>
    <n v="150"/>
    <n v="21450"/>
    <n v="141.67500000000001"/>
    <n v="194"/>
    <n v="266.75"/>
  </r>
  <r>
    <n v="7"/>
    <s v="Rámcová dohoda"/>
    <n v="5454518"/>
    <s v="https://crz.gov.sk/zmluva/5454518"/>
    <s v="https://www.crz.gov.sk/data/att/2706095.pdf"/>
    <x v="2"/>
    <s v="Typ: HP EliteDisplay E273q,Rozlisenie:2560x1440,Frekv:60 Hz,Velkost: 27&quot;,Kontrast:1000:1,Vstupy:VGA,DP,HDMI,matný, nastaviteľný,Zaruka:3"/>
    <n v="264"/>
    <n v="100"/>
    <n v="26400"/>
    <n v="141.67500000000001"/>
    <n v="194"/>
    <n v="266.75"/>
  </r>
  <r>
    <n v="8"/>
    <s v="Rámcová dohoda"/>
    <n v="5454518"/>
    <s v="https://crz.gov.sk/zmluva/5454518"/>
    <s v="https://www.crz.gov.sk/data/att/2706095.pdf"/>
    <x v="3"/>
    <s v="Typ: HP LaserJet Pro M402dne,Technologia: laser,Farba: nie, Formaty: A4,Rozhrania: USB,Ethernet,RAM: 256MB, Zasobnik: 250, Rozlisenie: 1200dpi,Zaruka: 3"/>
    <n v="229"/>
    <n v="25"/>
    <n v="5725"/>
    <n v="229.78"/>
    <n v="424.2"/>
    <n v="1030.3"/>
  </r>
  <r>
    <n v="9"/>
    <s v="Rámcová dohoda"/>
    <n v="5454518"/>
    <s v="https://crz.gov.sk/zmluva/5454518"/>
    <s v="https://www.crz.gov.sk/data/att/2706095.pdf"/>
    <x v="3"/>
    <s v="Typ: HP Color LaserJet Enterprise M552dn,Technologia: laser,Farba: áno, Formaty: A4,Rozhrania: USB,Ethernet,RAM: 1GB, Zasobnik: 550, Rozlisenie: 1200dpi,Zaruka: 3"/>
    <n v="492"/>
    <n v="25"/>
    <n v="12300"/>
    <n v="229.78"/>
    <n v="424.2"/>
    <n v="1030.3"/>
  </r>
  <r>
    <n v="10"/>
    <s v="Rámcová dohoda"/>
    <n v="5454518"/>
    <s v="https://crz.gov.sk/zmluva/5454518"/>
    <s v="https://www.crz.gov.sk/data/att/2706095.pdf"/>
    <x v="3"/>
    <s v="Typ: Epson LX-350 M552dn,Technologia: ihličková,Farba: nie, Formaty: traktor,štítky,kotúč,obálky, A4,Rozhrania: USB,Ethernet,RAM: 1GB, Zasobnik: 550, Rozlisenie: 240x144dpi,Zaruka: 3"/>
    <n v="191"/>
    <n v="15"/>
    <n v="2865"/>
    <n v="229.78"/>
    <n v="424.2"/>
    <n v="1030.3"/>
  </r>
  <r>
    <n v="11"/>
    <s v="Rámcová dohoda"/>
    <n v="5454518"/>
    <s v="https://crz.gov.sk/zmluva/5454518"/>
    <s v="https://www.crz.gov.sk/data/att/2706095.pdf"/>
    <x v="4"/>
    <s v="Typ: HP LaserJet Pro MFP M426fdn,Technologia: laser,Farba: nie, Formaty: A4,Rozhrania: USB,Ethernet,RAM: 256MB, Zasobnik: 250, R. tlace: 1200dpi, R. kopirky: 600dpi, R. skenera: 1200dpi,Zaruka: 3"/>
    <n v="374"/>
    <n v="50"/>
    <n v="18700"/>
    <n v="393.94499999999999"/>
    <n v="710.01499999999999"/>
    <n v="2552.0574999999999"/>
  </r>
  <r>
    <n v="12"/>
    <s v="Rámcová dohoda"/>
    <n v="5454518"/>
    <s v="https://crz.gov.sk/zmluva/5454518"/>
    <s v="https://www.crz.gov.sk/data/att/2706095.pdf"/>
    <x v="4"/>
    <s v="Typ: HP PageWide Pro MFP,Technologia: atrament,Farba: áno, Formaty: A4,Rozhrania: USB,Ethernet,RAM: 768MB, Zasobnik: 500, R. tlace: 600dpi, R. kopirky: 600dpi, R. skenera: 1200dpi,Zaruka: 3"/>
    <n v="620"/>
    <n v="50"/>
    <n v="31000"/>
    <n v="393.94499999999999"/>
    <n v="710.01499999999999"/>
    <n v="2552.0574999999999"/>
  </r>
  <r>
    <n v="13"/>
    <s v="Rámcová dohoda"/>
    <n v="5454518"/>
    <s v="https://crz.gov.sk/zmluva/5454518"/>
    <s v="https://www.crz.gov.sk/data/att/2706095.pdf"/>
    <x v="4"/>
    <s v="Typ: HP Color LaserJet Enterprise Flow MFP M880z+,Technologia: laser,Farba: áno, Formaty: A3-A5,Rozhrania: USB,Ethernet,RAM: 2,5GB, Hdd: 320GB, Zasobnik: 4000, R. tlace: 1200dpi, R. kopirky: 600dpi, R. skenera: 600dpi,Zaruka: 3"/>
    <n v="7520"/>
    <n v="10"/>
    <n v="75200"/>
    <n v="393.94499999999999"/>
    <n v="710.01499999999999"/>
    <n v="2552.0574999999999"/>
  </r>
  <r>
    <n v="14"/>
    <s v="Rámcová dohoda"/>
    <n v="5454518"/>
    <s v="https://crz.gov.sk/zmluva/5454518"/>
    <s v="https://www.crz.gov.sk/data/att/2706095.pdf"/>
    <x v="5"/>
    <s v="HP Color LaserJet Boolet Maker/Finisher"/>
    <n v="2692"/>
    <n v="10"/>
    <n v="26920"/>
    <n v="17.549999999999997"/>
    <n v="275.8"/>
    <n v="11191.057499999999"/>
  </r>
  <r>
    <n v="15"/>
    <s v="Rámcová dohoda"/>
    <n v="5454518"/>
    <s v="https://crz.gov.sk/zmluva/5454518"/>
    <s v="https://www.crz.gov.sk/data/att/2706095.pdf"/>
    <x v="6"/>
    <s v="Typ: EPSON WorkForce DS-1360, Format: A4, Rozlisenie: 1200dpi, Zasobnik: 50,Zaruka: 3"/>
    <n v="1325"/>
    <n v="5"/>
    <n v="6625"/>
    <n v="112.19999999999999"/>
    <n v="252"/>
    <n v="2310"/>
  </r>
  <r>
    <n v="16"/>
    <s v="Rámcová dohoda"/>
    <n v="5454518"/>
    <s v="https://crz.gov.sk/zmluva/5454518"/>
    <s v="https://www.crz.gov.sk/data/att/2706095.pdf"/>
    <x v="6"/>
    <s v="Typ: EPSON WorkForce DS-6500, Format: A4, Rozlisenie: 1200dpi, Zasobnik: 100,Zaruka: 3"/>
    <n v="4040"/>
    <n v="5"/>
    <n v="20200"/>
    <n v="112.19999999999999"/>
    <n v="252"/>
    <n v="2310"/>
  </r>
  <r>
    <n v="17"/>
    <s v="Rámcová dohoda"/>
    <n v="5454518"/>
    <s v="https://crz.gov.sk/zmluva/5454518"/>
    <s v="https://www.crz.gov.sk/data/att/2706095.pdf"/>
    <x v="6"/>
    <s v="Typ: HP ScanJet Enterprise Flow 5000 s4, Format: A4, Rozlisenie: 600dpi, Zasobnik: 80,Zaruka: 3"/>
    <n v="3295"/>
    <n v="5"/>
    <n v="16475"/>
    <n v="112.19999999999999"/>
    <n v="252"/>
    <n v="2310"/>
  </r>
  <r>
    <n v="18"/>
    <s v="Rámcová dohoda"/>
    <n v="5454518"/>
    <s v="https://crz.gov.sk/zmluva/5454518"/>
    <s v="https://www.crz.gov.sk/data/att/2706095.pdf"/>
    <x v="6"/>
    <s v="Typ: HP ScanJet Enterprise Flow N9120 fn2, Format: A3, Rozlisenie: 600dpi, Zasobnik: 200,Zaruka: 3"/>
    <n v="7344"/>
    <n v="2"/>
    <n v="14688"/>
    <n v="112.19999999999999"/>
    <n v="252"/>
    <n v="2310"/>
  </r>
  <r>
    <n v="19"/>
    <s v="Rámcová dohoda"/>
    <n v="5454518"/>
    <s v="https://crz.gov.sk/zmluva/5454518"/>
    <s v="https://www.crz.gov.sk/data/att/2706095.pdf"/>
    <x v="7"/>
    <s v="Typ: EPSON EB-1795F,Technol.: 3LCD,Svetlost: 3200lm,Zdroj svetla: žiarovka s neuvedenou životnosťou,Rozlisenie: 1920x1080,Kontrast: 10 000:1,Rozhrania: USB, HDMI, VGA, WIFI,Zaruka: 3"/>
    <n v="9020"/>
    <n v="10"/>
    <n v="90200"/>
    <n v="709.95"/>
    <n v="1000"/>
    <n v="5171.4583333333339"/>
  </r>
  <r>
    <n v="20"/>
    <s v="Rámcová dohoda"/>
    <n v="5454518"/>
    <s v="https://crz.gov.sk/zmluva/5454518"/>
    <s v="https://www.crz.gov.sk/data/att/2706095.pdf"/>
    <x v="7"/>
    <s v="Typ: EPSON EB-2247U,Technol.: 3LCD,Svetlost: 4200lm,Zdroj svetla: žiarovka s neuvedenou životnosťou,Rozlisenie: FHD, Kontrast: 15 000:1,Rozhrania: USB, HDMI, VGA, Ethernet, WIFI,Zaruka: 3"/>
    <n v="3895"/>
    <n v="5"/>
    <n v="19475"/>
    <n v="709.95"/>
    <n v="1000"/>
    <n v="5171.4583333333339"/>
  </r>
  <r>
    <n v="21"/>
    <s v="Rámcová dohoda"/>
    <n v="5454518"/>
    <s v="https://crz.gov.sk/zmluva/5454518"/>
    <s v="https://www.crz.gov.sk/data/att/2706095.pdf"/>
    <x v="8"/>
    <s v="Typ: Dell PowerEdge R640, Proc: 2xIntel Silver 4116,RAM: 64GB,Disk: príprava SSD m.2 240GB,HDD 2x 300GB SAS hotswap, Radic: RAID10 8GB cache, Ethernet: 4x 1Gbps-25Gbps, GPU: Zdiel., Vyhotovenie: 1U, OS nezávislý systém manažment, Zaruka: 3"/>
    <n v="14240"/>
    <n v="2"/>
    <n v="28480"/>
    <n v="7209.15"/>
    <n v="15534.78"/>
    <n v="29950.799999999999"/>
  </r>
  <r>
    <n v="22"/>
    <s v="Rámcová dohoda"/>
    <n v="5454518"/>
    <s v="https://crz.gov.sk/zmluva/5454518"/>
    <s v="https://www.crz.gov.sk/data/att/2706095.pdf"/>
    <x v="8"/>
    <s v="Typ: Dell PowerEdge R740, Proc: 2xIntel Silver 4116,RAM: 64GB,Disk: príprava SSD m.2 240GB,HDD 8x 300GB SAS hotswap, Radic: RAID10 8GB cache, Ethernet: 4x 1Gbps-25Gbps, GPU: Rozšír. na 3xWide GPU 300W/6xWideGPU 150W, Vyhotovenie: 2U, OS nezávislý systém manažment, Zaruka: 3"/>
    <n v="17380"/>
    <n v="2"/>
    <n v="34760"/>
    <n v="7209.15"/>
    <n v="15534.78"/>
    <n v="29950.799999999999"/>
  </r>
  <r>
    <n v="23"/>
    <s v="Rámcová dohoda"/>
    <n v="5454518"/>
    <s v="https://crz.gov.sk/zmluva/5454518"/>
    <s v="https://www.crz.gov.sk/data/att/2706095.pdf"/>
    <x v="8"/>
    <s v="Typ: Dell PowerEdge R740XD, Proc: 2xIntel Silver 4116,RAM: 64GB,Disk: príprava SSD m.2 240GB,SSD 4x 480GB SAS hotswap,HDD 8x 4TB NLSAS hotswap, Radic: RAID10 8GB cache, Ethernet: 4x 1Gbps-25Gbps, GPU: Zdiel., Vyhotovenie: 2U, OS nezávislý systém manažment, Zaruka: 3"/>
    <n v="13570"/>
    <n v="1"/>
    <n v="13570"/>
    <n v="7209.15"/>
    <n v="15534.78"/>
    <n v="29950.799999999999"/>
  </r>
  <r>
    <n v="24"/>
    <s v="Rámcová dohoda"/>
    <n v="5454518"/>
    <s v="https://crz.gov.sk/zmluva/5454518"/>
    <s v="https://www.crz.gov.sk/data/att/2706095.pdf"/>
    <x v="8"/>
    <s v="Typ: Dell PowerEdge R940, Proc: 4xIntel Xeon Platinum 8180,RAM: 768GB,Disk: príprava SSD m.2 240GB,SSD 2x 1TB NVMe 2,5&quot; hotswap,HDD 6x 1,8TB SAS hotswap, Radic: RAID10 8GB cache, Ethernet: 4x 1Gbps-25Gbps, GPU: Zdiel., Vyhotovenie: 3U, OS nezávislý systém manažment, Zaruka: 3"/>
    <n v="62900"/>
    <n v="1"/>
    <n v="62900"/>
    <n v="7209.15"/>
    <n v="15534.78"/>
    <n v="29950.799999999999"/>
  </r>
  <r>
    <n v="25"/>
    <s v="Rámcová dohoda"/>
    <n v="5454518"/>
    <s v="https://crz.gov.sk/zmluva/5454518"/>
    <s v="https://www.crz.gov.sk/data/att/2706095.pdf"/>
    <x v="5"/>
    <s v="Typ: Blade chassis, Vyska: 10U, redundantné napájacie zdroje, redundantné ventiátory, KVM prepínač, Zaruka: 3"/>
    <n v="38190"/>
    <n v="1"/>
    <n v="38190"/>
    <n v="17.549999999999997"/>
    <n v="275.8"/>
    <n v="11191.057499999999"/>
  </r>
  <r>
    <n v="26"/>
    <s v="Rámcová dohoda"/>
    <n v="5454518"/>
    <s v="https://crz.gov.sk/zmluva/5454518"/>
    <s v="https://www.crz.gov.sk/data/att/2706095.pdf"/>
    <x v="8"/>
    <s v="Typ: Dell PowerEdge M640, Proc: 2xIntel Xeon Gold 6134,RAM: 32GB,Disk: m.2 rozhranie, Radic: RAID10 2GB cache, Ethernet: 2x 10Gbps,2x 8Gbps FC, GPU: Zdiel., OS nezávislý systém manažment, Zaruka: 3"/>
    <n v="129440"/>
    <n v="16"/>
    <n v="2071040"/>
    <n v="7209.15"/>
    <n v="15534.78"/>
    <n v="29950.799999999999"/>
  </r>
  <r>
    <n v="27"/>
    <s v="Rámcová dohoda"/>
    <n v="5454518"/>
    <s v="https://crz.gov.sk/zmluva/5454518"/>
    <s v="https://www.crz.gov.sk/data/att/2706095.pdf"/>
    <x v="9"/>
    <s v="Typ: Dell EMC SCv3020 3Ux30 Drive, Technol.: SAS3 s podporou NLSAS a SSD, Radic: 2x 12 Gbps RAID5-10DM, Cache: 32GB, Disky: 7x 900GB SAS 10k/min, Porty: 4x SAS IO, Vyhotovenie: 3U, vzdialený prístup, automatický tiering, Zaruka: 3"/>
    <n v="11850"/>
    <n v="1"/>
    <n v="11850"/>
    <n v="2032"/>
    <n v="19360"/>
    <n v="87628.37"/>
  </r>
  <r>
    <n v="28"/>
    <s v="Rámcová dohoda"/>
    <n v="5454518"/>
    <s v="https://crz.gov.sk/zmluva/5454518"/>
    <s v="https://www.crz.gov.sk/data/att/2706095.pdf"/>
    <x v="9"/>
    <s v="Typ: Dell EMC Unity 300, Technol.: SAS3 s podporou NLSAS a SSD, Radic: 2x 12 Gbps RAID0-6, Cache: 48GB + 24GB (nie SSD cache), Disky: 25x 600GB SAS 10k/min, Porty: 4+4x SAS IO (16Gb FC + 10GbE), Vyhotovenie: 2U, vzdialený prístup, automatický tiering, Zaruka: 3"/>
    <n v="19360"/>
    <n v="1"/>
    <n v="19360"/>
    <n v="2032"/>
    <n v="19360"/>
    <n v="87628.37"/>
  </r>
  <r>
    <n v="29"/>
    <s v="Rámcová dohoda"/>
    <n v="5454518"/>
    <s v="https://crz.gov.sk/zmluva/5454518"/>
    <s v="https://www.crz.gov.sk/data/att/2706095.pdf"/>
    <x v="10"/>
    <s v="Typ: Dell NetShelter SX 42U, Vyska: 42U, Zaruka: 3"/>
    <n v="1122.33"/>
    <n v="1"/>
    <n v="1122.33"/>
    <n v="98.7"/>
    <n v="172.56"/>
    <n v="2312.5"/>
  </r>
  <r>
    <n v="30"/>
    <s v="Rámcová dohoda"/>
    <n v="5454518"/>
    <s v="https://crz.gov.sk/zmluva/5454518"/>
    <s v="https://www.crz.gov.sk/data/att/2706095.pdf"/>
    <x v="11"/>
    <s v="Typ: APC Smart-UPS SRT 6000VA, Spinanie: online,Vykon: 6000W,Vyhot.: neuvedené,Zaruka: 3"/>
    <n v="4316"/>
    <n v="2"/>
    <n v="8632"/>
    <n v="59.227499999999999"/>
    <n v="332.14"/>
    <n v="1331.8050000000001"/>
  </r>
  <r>
    <n v="31"/>
    <s v="Rámcová dohoda"/>
    <n v="5454518"/>
    <s v="https://crz.gov.sk/zmluva/5454518"/>
    <s v="https://www.crz.gov.sk/data/att/2706095.pdf"/>
    <x v="11"/>
    <s v="Typ: Dell Smart-UPS SRT 3000VA RM, Spinanie: online,Vykon: 4500W,Vyhot.: neuvedené,Zaruka: 3"/>
    <n v="3830"/>
    <n v="3"/>
    <n v="11490"/>
    <n v="59.227499999999999"/>
    <n v="332.14"/>
    <n v="1331.8050000000001"/>
  </r>
  <r>
    <n v="3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30 G6,Proc.: 4-jadro passmark 7900,RAM: 8GB,Disk: SSD NVMe 256GB,VGA: zdiel.,Disp: FHD,OS: Win10Pro, podsv. klávesnica,TPM,bez dokovacej stanice,Zaruka: neuvedené"/>
    <n v="783.8"/>
    <n v="30"/>
    <n v="23514"/>
    <n v="783.15"/>
    <n v="1196.3"/>
    <n v="1455.5"/>
  </r>
  <r>
    <n v="3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30 G5,Proc.: 4-jadro passmark 8200,RAM: 8GB,Disk: SSD NVMe 512GB,VGA: zdiel.,Disp: FHD,OS: Win10Pro,WWAN, podsv. klávesnica,TPM,bez dokovacej stanice,Zaruka: neuvedené"/>
    <n v="1279.5999999999999"/>
    <n v="15"/>
    <n v="19194"/>
    <n v="783.15"/>
    <n v="1196.3"/>
    <n v="1455.5"/>
  </r>
  <r>
    <n v="3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2-jadro passmark 5000,RAM: 8GB,Disk: SSD NVMe 256GB,VGA: zdiel.,Disp: FHD,OS: Win10Pro,podsv. klávesnica,TPM,bez dokovacej stanice,Zaruka: neuvedené"/>
    <n v="700.5"/>
    <n v="30"/>
    <n v="21015"/>
    <n v="783.15"/>
    <n v="1196.3"/>
    <n v="1455.5"/>
  </r>
  <r>
    <n v="3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x360 440 G1,Proc.: 4-jadro passmark 7600,RAM: 8GB,Disk: SSD NVMe 256GB,VGA: zdiel.,Disp: FHD,OS: Win10Pro,podsv. klávesnica,TPM,bez dokovacej stanice,Zaruka: neuvedené"/>
    <n v="803.2"/>
    <n v="18"/>
    <n v="14457.6"/>
    <n v="783.15"/>
    <n v="1196.3"/>
    <n v="1455.5"/>
  </r>
  <r>
    <n v="3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40 G5,Proc.: 4-jadro passmark 8200,RAM: 16GB,Disk: SSD NVMe 512GB,VGA: zdiel.,Disp: FHD,OS: Win10Pro,WWAN, podsv. klávesnica,TPM,bez dokovacej stanice,Zaruka: neuvedené"/>
    <n v="1290.9000000000001"/>
    <n v="10"/>
    <n v="12909"/>
    <n v="783.15"/>
    <n v="1196.3"/>
    <n v="1455.5"/>
  </r>
  <r>
    <n v="3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2-jadro passmark 5300,RAM: 8GB,Disk: SSD NVMe 256GB,VGA: zdiel.,Disp: FHD,OS: Win10Pro,podsv. klávesnica,TPM,bez dokovacej stanice,Zaruka: neuvedené"/>
    <n v="672.8"/>
    <n v="25"/>
    <n v="16820"/>
    <n v="783.15"/>
    <n v="1196.3"/>
    <n v="1455.5"/>
  </r>
  <r>
    <n v="3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7900,RAM: 8GB,Disk: SSD NVMe 256GB,VGA: zdiel.,Disp: FHD,OS: Win10Pro,podsv. klávesnica,TPM,bez dokovacej stanice,Zaruka: neuvedené"/>
    <n v="752.6"/>
    <n v="10"/>
    <n v="7526"/>
    <n v="783.15"/>
    <n v="1196.3"/>
    <n v="1455.5"/>
  </r>
  <r>
    <n v="3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8900,RAM: 8GB,Disk: SSD NVMe 256GB,VGA: zdiel.,Disp: FHD,OS: Win10Pro,podsv. klávesnica,TPM,bez dokovacej stanice,Zaruka: neuvedené"/>
    <n v="848.1"/>
    <n v="10"/>
    <n v="8481"/>
    <n v="783.15"/>
    <n v="1196.3"/>
    <n v="1455.5"/>
  </r>
  <r>
    <n v="4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Air 13&quot;,Proc.: 2-jadro passmark 4000,RAM: 8GB,Disk: SSD PCIe 256GB,VGA: zdiel.,Disp: 2560x1600,OS:macOS Mojave,podsv. klávesnica,bez dokovacej stanice,Zaruka: neuvedené"/>
    <n v="1437.8"/>
    <n v="3"/>
    <n v="4313.3999999999996"/>
    <n v="783.15"/>
    <n v="1196.3"/>
    <n v="1455.5"/>
  </r>
  <r>
    <n v="4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3&quot;,Proc.: 4-jadro passmark 10900,RAM: 8GB,Disk: SSD PCIe 256GB,VGA: zdiel.,Disp: 2560x1600,OS:macOS Mojave,podsv. klávesnica,bez dokovacej stanice,Zaruka: neuvedené"/>
    <n v="1852.2"/>
    <n v="3"/>
    <n v="5556.6"/>
    <n v="783.15"/>
    <n v="1196.3"/>
    <n v="1455.5"/>
  </r>
  <r>
    <n v="4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5&quot;,Proc.: 6-jadro passmark 12400,RAM: 16GB,Disk: SSD 256GB,VGA: nezdiel. 3GD 3100,Disp: 2880x1800,OS:macOS Mojave,podsv. klávesnica,bez dokovacej stanice,Zaruka: neuvedené"/>
    <n v="2500.8000000000002"/>
    <n v="3"/>
    <n v="7502.4000000000005"/>
    <n v="783.15"/>
    <n v="1196.3"/>
    <n v="1455.5"/>
  </r>
  <r>
    <n v="4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Samsung Galaxy Tab A 10.5,Proc.: 8-jadro 1.8GHz,RAM: 3GB,Disk: CF 32GB,Disp.: 1920x1200,OS: Android,Fotoaparat 2x,bluetooth,wifi,gps,4g/lte,Zaruka: neuvedené"/>
    <n v="319.3"/>
    <n v="10"/>
    <n v="3193"/>
    <n v="307.64999999999998"/>
    <n v="533.63"/>
    <n v="761.32"/>
  </r>
  <r>
    <n v="4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64GB,Proc.: 64-bit,RAM: neuvedené,Disk: CF 64GB,Disp.: retina,OS: iOS12,wifi,Zaruka: neuvedené"/>
    <n v="557.29999999999995"/>
    <n v="5"/>
    <n v="2786.5"/>
    <n v="307.64999999999998"/>
    <n v="533.63"/>
    <n v="761.32"/>
  </r>
  <r>
    <n v="4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128GB,Proc.: 64-bit,RAM: neuvedené,Disk: CF 128GB,Disp.: retina,OS: iOS11,wifi,Zaruka: neuvedené"/>
    <n v="539.29999999999995"/>
    <n v="5"/>
    <n v="2696.5"/>
    <n v="307.64999999999998"/>
    <n v="533.63"/>
    <n v="761.32"/>
  </r>
  <r>
    <n v="4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256GB,Proc.: 64-bit,RAM: neuvedené,Disk: CF 256GB,Disp.: retina,OS: iOS12,wifi,Zaruka: neuvedené"/>
    <n v="813.5"/>
    <n v="5"/>
    <n v="4067.5"/>
    <n v="307.64999999999998"/>
    <n v="533.63"/>
    <n v="761.32"/>
  </r>
  <r>
    <n v="47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4-jadro passmark 8000,RAM: 8GB,Disk: SSD NVMe 256GB,VGA: zdiel,OS: Win10Pro,klávesnica,myš,DVD,Zaruka: neuvedené"/>
    <n v="622"/>
    <n v="30"/>
    <n v="18660"/>
    <n v="680"/>
    <n v="991"/>
    <n v="1485.8333333333335"/>
  </r>
  <r>
    <n v="48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1900,RAM: 8GB,Disk: SSD NVMe 256GB,VGA: zdiel,OS: Win10Pro,klávesnica,myš,DVD,Zaruka: neuvedené"/>
    <n v="618.6"/>
    <n v="50"/>
    <n v="30930"/>
    <n v="680"/>
    <n v="991"/>
    <n v="1485.8333333333335"/>
  </r>
  <r>
    <n v="49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5100,RAM: 8GB,Disk: SSD NVMe 256GB,VGA: zdiel,OS: Win10Pro,klávesnica,myš,DVD,Zaruka: neuvedené"/>
    <n v="736.6"/>
    <n v="30"/>
    <n v="22098"/>
    <n v="680"/>
    <n v="991"/>
    <n v="1485.8333333333335"/>
  </r>
  <r>
    <n v="50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1900,RAM: 8GB,Disk: SSD NVMe 256GB,VGA: nezdiel. 3GD 8450,OS: Win10Pro,klávesnica,myš,DVD,Zaruka: neuvedené"/>
    <n v="948.8"/>
    <n v="20"/>
    <n v="18976"/>
    <n v="680"/>
    <n v="991"/>
    <n v="1485.8333333333335"/>
  </r>
  <r>
    <n v="51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256GB,VGA: nezdiel. 3GD 3640,OS: Win10Pro,klávesnica,myš,DVD,Zaruka: neuvedené"/>
    <n v="1072.4000000000001"/>
    <n v="20"/>
    <n v="21448"/>
    <n v="680"/>
    <n v="991"/>
    <n v="1485.8333333333335"/>
  </r>
  <r>
    <n v="52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512GB,VGA: nezdiel. 3GD 8900,OS: Win10Pro,klávesnica,myš,DVD,Zaruka: neuvedené"/>
    <n v="1151"/>
    <n v="20"/>
    <n v="23020"/>
    <n v="680"/>
    <n v="991"/>
    <n v="1485.8333333333335"/>
  </r>
  <r>
    <n v="53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00 G4 AiO 20NT,Proc: 4-jadro passmark 7300,RAM: 8GB,Disk: SSD NVMe 256GB,VGA: zdiel.,OS: Win10Pro,klávesnica,myš,DVD,Zaruka: neuvedené"/>
    <n v="641.1"/>
    <n v="20"/>
    <n v="12822"/>
    <n v="680"/>
    <n v="991"/>
    <n v="1485.8333333333335"/>
  </r>
  <r>
    <n v="54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40 G4 AiO 23.8NT,Proc: 6-jadro passmark 9900,RAM: 8GB,Disk: SSD NVMe 256GB,VGA: zdiel.,OS: Win10Pro,klávesnica,myš,DVD,Zaruka: neuvedené"/>
    <n v="742.2"/>
    <n v="10"/>
    <n v="7422"/>
    <n v="680"/>
    <n v="991"/>
    <n v="1485.8333333333335"/>
  </r>
  <r>
    <n v="55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1900,RAM: 8GB,Disk: SSD NVMe 256GB,VGA: zdiel,OS: Win10Pro,klávesnica,myš,Zaruka: neuvedené"/>
    <n v="1184.7"/>
    <n v="10"/>
    <n v="11847"/>
    <n v="680"/>
    <n v="991"/>
    <n v="1485.8333333333335"/>
  </r>
  <r>
    <n v="56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5100,RAM: 16GB,Disk: SSD NVMe 512GB,VGA: zdiel,OS: Win10Pro,klávesnica,myš,Zaruka: neuvedené"/>
    <n v="1409.4"/>
    <n v="10"/>
    <n v="14094"/>
    <n v="680"/>
    <n v="991"/>
    <n v="1485.8333333333335"/>
  </r>
  <r>
    <n v="57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6-jadro passmark 15100,RAM: 16GB,Disk: HDD 1TB,VGA: zdiel,OS: Win10Pro,klávesnica,myš,DVD,Zaruka: neuvedené"/>
    <n v="1016.2"/>
    <n v="6"/>
    <n v="6097.2000000000007"/>
    <n v="680"/>
    <n v="991"/>
    <n v="1485.8333333333335"/>
  </r>
  <r>
    <n v="58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4-jadro passmark 12300,RAM: 16GB,Disk: SSD NVMe 256GB,VGA: zdiel,OS: Win10Pro,klávesnica,myš,DVD,Zaruka: neuvedené"/>
    <n v="1600.5"/>
    <n v="4"/>
    <n v="6402"/>
    <n v="680"/>
    <n v="991"/>
    <n v="1485.8333333333335"/>
  </r>
  <r>
    <n v="59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10-jadro passmark 21800,RAM: 32GB,Disk: SSD NVMe 512GB + HDD 4TB,VGA: zdiel,OS: Win10Pro,klávesnica,myš,DVD,Zaruka: neuvedené"/>
    <n v="2240.9"/>
    <n v="3"/>
    <n v="6722.7000000000007"/>
    <n v="680"/>
    <n v="991"/>
    <n v="1485.8333333333335"/>
  </r>
  <r>
    <n v="60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23V5LHSB2/00,Rozlisenie: 1920x1080,Frekv: 60 Hz,Velkost: 21,5&quot;,Kontrast: 600:1,Vstupy: VGA,HDMI,matný,Zaruka: neuvedené"/>
    <n v="68.3"/>
    <n v="50"/>
    <n v="3415"/>
    <n v="141.67500000000001"/>
    <n v="194"/>
    <n v="266.75"/>
  </r>
  <r>
    <n v="61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3V5LSB5/00,Rozlisenie: 1920x1080,Frekv: 60 Hz,Velkost: 23,6&quot;,Kontrast: 1000:1,Vstupy: VGA,DVI,matný,Zaruka: neuvedené"/>
    <n v="93"/>
    <n v="100"/>
    <n v="9300"/>
    <n v="141.67500000000001"/>
    <n v="194"/>
    <n v="266.75"/>
  </r>
  <r>
    <n v="62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1S4LCB/00,Rozlisenie: 1920x1080,Frekv: 60 Hz,Velkost: 24&quot;,Kontrast: 1000:1,Vstupy: VGA,DVI,matný, nastaviteľný,Zaruka: neuvedené"/>
    <n v="125.1"/>
    <n v="50"/>
    <n v="6255"/>
    <n v="141.67500000000001"/>
    <n v="194"/>
    <n v="266.75"/>
  </r>
  <r>
    <n v="63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1B8QJEB/00,Rozlisenie: 1920x1080,Frekv: 60 Hz,Velkost: 27&quot;,Kontrast: 1000:1,Vstupy: VGA,DVI,DP,HDMI,matný, nastaviteľný,Zaruka: neuvedené"/>
    <n v="175.7"/>
    <n v="30"/>
    <n v="5271"/>
    <n v="141.67500000000001"/>
    <n v="194"/>
    <n v="266.75"/>
  </r>
  <r>
    <n v="64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2P7VPTKEB/00,Rozlisenie: 3840x2160,Frekv: 60 Hz,Velkost: 27&quot;,Kontrast: 1300:1,Vstupy: VGA,DVI,miniDP,DP,HDMI,matný, nastaviteľný,Zaruka: neuvedené"/>
    <n v="299.7"/>
    <n v="10"/>
    <n v="2997"/>
    <n v="141.67500000000001"/>
    <n v="194"/>
    <n v="266.75"/>
  </r>
  <r>
    <n v="65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328P6VUBREB/00,Rozlisenie: 3840x2160,Frekv: 60 Hz,Velkost: 31,5&quot;,Kontrast: 3000:1,Vstupy: DP,HDMI,matný, nastaviteľný,Zaruka: neuvedené"/>
    <n v="470.9"/>
    <n v="10"/>
    <n v="4709"/>
    <n v="141.67500000000001"/>
    <n v="194"/>
    <n v="266.75"/>
  </r>
  <r>
    <n v="66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102a,Technologia: laser,Farba: nie,Formaty: A4,Rozhrania: USB,RAM: 128MB, Pam. Karta: nie,Zasobnik: 250,Rozlisenie: 600dpi,Duplex: nie,Zaruka: neuvedené"/>
    <n v="94.4"/>
    <n v="10"/>
    <n v="944"/>
    <n v="229.78"/>
    <n v="424.2"/>
    <n v="1030.3"/>
  </r>
  <r>
    <n v="67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4132dn,Technologia: led,Farba: nie,Formaty: A4,Rozhrania: USB, ethernet,RAM: 512MB,Pam. karta: 3GB,Zasobnik: 350,Rozlisenie: 1200dpi,Duplex: áno,Zaruka: neuvedené"/>
    <n v="233.8"/>
    <n v="10"/>
    <n v="2338"/>
    <n v="229.78"/>
    <n v="424.2"/>
    <n v="1030.3"/>
  </r>
  <r>
    <n v="68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203dn,Technologia: laser,Farba: nie,Formaty: A4,Rozhrania: USB, ethernet, airprint,RAM: 256MB,Pam. karta: nie,Zasobnik: 260,Rozlisenie: 1200dpi,Duplex: áno,Zaruka: neuvedené"/>
    <n v="159.80000000000001"/>
    <n v="10"/>
    <n v="1598"/>
    <n v="229.78"/>
    <n v="424.2"/>
    <n v="1030.3"/>
  </r>
  <r>
    <n v="69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7131dnw,Technologia: led,Farba: nie,Formaty: A4,Rozhrania: USB, ethernet, wifi, airprint,RAM: 256MB,Pam. karta: nie,Zasobnik: 630,Rozlisenie: 1200dpi,Duplex: áno,Zaruka: neuvedené"/>
    <n v="634.9"/>
    <n v="2"/>
    <n v="1269.8"/>
    <n v="229.78"/>
    <n v="424.2"/>
    <n v="1030.3"/>
  </r>
  <r>
    <n v="70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Color LaserJet Pro M454dn,Technologia: laser,Farba: áno,Formaty: A4,Rozhrania: USB, ethernet, airprint, Airprint,RAM: 128MB,Pam. karta: 256MB,Zasobnik: 850,Rozlisenie: 600dpi,duplex: áno,Zaruka: neuvedené"/>
    <n v="424.2"/>
    <n v="10"/>
    <n v="4242"/>
    <n v="229.78"/>
    <n v="424.2"/>
    <n v="1030.3"/>
  </r>
  <r>
    <n v="71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5432dn,Technologia: led,Farba: áno,Formaty: A4,Rozhrania: USB, ethernet, wifi, airprint,RAM: 1GB,Pam. karta: 3GB,Zasobnik: 350,Rozlisenie: 1200dpi,Duplex: áno,Zaruka: neuvedené"/>
    <n v="550.6"/>
    <n v="6"/>
    <n v="3303.6000000000004"/>
    <n v="229.78"/>
    <n v="424.2"/>
    <n v="1030.3"/>
  </r>
  <r>
    <n v="72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4192dn MFP,Technologia: led,Farba: nie,Formaty: A4,Rozhrania: USB, ethernet, airprint,RAM: 1GB,Pam. karta: 3GB,Zasobnik: 850,R. tlace: 1200dpi,R. kopirky: 600dpi,R. skenera: 600dpi,Duplex: áno,Zaruka: neuvedené"/>
    <n v="439.4"/>
    <n v="10"/>
    <n v="4394"/>
    <n v="393.94499999999999"/>
    <n v="710.01499999999999"/>
    <n v="2552.0574999999999"/>
  </r>
  <r>
    <n v="73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130a,Technologia: laser,Farba: nie,Formaty: A4,Rozhrania: USB,RAM: 128MB,Pam. karta: nie,Zasobnik: 150,R. tlace: 600dpi,R. kopirky: 600dpi,R. skenera: 600/1200dpi,Duplex: nie,Zaruka: neuvedené"/>
    <n v="122.2"/>
    <n v="5"/>
    <n v="611"/>
    <n v="393.94499999999999"/>
    <n v="710.01499999999999"/>
    <n v="2552.0574999999999"/>
  </r>
  <r>
    <n v="74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227sdn,Technologia: laser,Farba: nie,Formaty: A4,Rozhrania: USB, ethernet, airprint,RAM: 256MB,Pam. karta: nie,Zasobnik: 260,R. tlace: 1200dpi,R. kopirky: 600dpi,R. skenera: 600/1200dpi,Duplex: áno,Zaruka: neuvedené"/>
    <n v="239.8"/>
    <n v="5"/>
    <n v="1199"/>
    <n v="393.94499999999999"/>
    <n v="710.01499999999999"/>
    <n v="2552.0574999999999"/>
  </r>
  <r>
    <n v="75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,Technologia: led,Farba: áno,Formaty: A4,Rozhrania: USB, ethernet, wifi, airprint,RAM: 1GB,Pam. karta: 3GB,Zasobnik: 1350,R. tlace: 1200dpi,R. kopirky: 600dpi,R. skenera: 600dpi,Duplex: áno,Zaruka: neuvedené"/>
    <n v="691.1"/>
    <n v="3"/>
    <n v="2073.3000000000002"/>
    <n v="393.94499999999999"/>
    <n v="710.01499999999999"/>
    <n v="2552.0574999999999"/>
  </r>
  <r>
    <n v="76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Color LaserJet Pro MFP M479dw,Technologia: laser,Farba: áno,Formaty: A4,Rozhrania: USB, ethernet, wifi, airprint,RAM: 512MB,Pam. karta: 512MB,Zasobnik: neuvedené,R. tlace: 600dpi,R. kopirky: 1200dpi,R. skenera: 1200dpi,Duplex: áno,Zaruka: neuvedené"/>
    <n v="479.9"/>
    <n v="6"/>
    <n v="2879.3999999999996"/>
    <n v="393.94499999999999"/>
    <n v="710.01499999999999"/>
    <n v="2552.0574999999999"/>
  </r>
  <r>
    <n v="77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PageWide Pro MFP 477dw,Technologia: laser,Farba: áno,Formaty: A4,Rozhrania: USB, ethernet, wifi, airprint,RAM: 768MB,Pam. karta: nie,Zasobnik: neuvedené,R. tlace: 600dpi,R. kopirky: 1200dpi,R. skenera: 1200dpi,Duplex: áno,Zaruka: neuvedené"/>
    <n v="696.5"/>
    <n v="4"/>
    <n v="2786"/>
    <n v="393.94499999999999"/>
    <n v="710.01499999999999"/>
    <n v="2552.0574999999999"/>
  </r>
  <r>
    <n v="78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,Technologia: led,Farba: áno,Formaty: A3,Rozhrania: USB, ethernet, wifi, airprint,RAM: 1,26GB,Pam. karta: HDD 250GB,Zasobnik: 1900,R. tlace: 1200x600dpi,R. kopirky: 600dpi,R. skenera: 600dpi,Duplex: áno,Zaruka: neuvedené"/>
    <n v="2415.8000000000002"/>
    <n v="2"/>
    <n v="4831.6000000000004"/>
    <n v="393.94499999999999"/>
    <n v="710.01499999999999"/>
    <n v="2552.0574999999999"/>
  </r>
  <r>
    <n v="79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19, Format: A4, Rozlisenie: 4800dpi, Zasobnik: nie,Zaruka: neuvedené"/>
    <n v="86.2"/>
    <n v="5"/>
    <n v="431"/>
    <n v="112.19999999999999"/>
    <n v="252"/>
    <n v="2310"/>
  </r>
  <r>
    <n v="80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370 Photo, Format: A4, Rozlisenie: 4800dpi, Zasobnik: nie,Zaruka: neuvedené"/>
    <n v="163.9"/>
    <n v="5"/>
    <n v="819.5"/>
    <n v="112.19999999999999"/>
    <n v="252"/>
    <n v="2310"/>
  </r>
  <r>
    <n v="8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30, 24&quot;,Technologia: termálna atramentová,Farba: áno,Formaty: A1,Rozhrania: USB, ethernet, wifi,RAM: 1000MB,Pam. karta: nie,Zasobnik: automatická rezačka,Rozlisenie: 2400x1200dpi,Zaruka: neuvedené"/>
    <n v="1247.2"/>
    <n v="2"/>
    <n v="2494.4"/>
    <n v="1383.98"/>
    <n v="1866.7"/>
    <n v="4574.5833333333339"/>
  </r>
  <r>
    <n v="8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30, 36&quot;,Technologia: termálna atramentová,Farba: áno,Formaty: A0,Rozhrania: USB, ethernet, wifi,RAM: 1000MB,Pam. karta: nie,Zasobnik: automatická rezačka,Rozlisenie: 2400x1200dpi,Zaruka: neuvedené"/>
    <n v="1866.7"/>
    <n v="1"/>
    <n v="1866.7"/>
    <n v="1383.98"/>
    <n v="1866.7"/>
    <n v="4574.5833333333339"/>
  </r>
  <r>
    <n v="83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U42,Technol.: 3LCD,Svetlost: 3600lm,Zdroj svetla: žiarovka 6000h,Rozlisenie: 1920x1200,Kontrast: 15000:1,Rozhrania: Miracast, CINCH, MHL, Kompozit, USB, HDMI, VGA, WIFI,Zaruka: 5"/>
    <n v="713.6"/>
    <n v="10"/>
    <n v="7136"/>
    <n v="709.95"/>
    <n v="1000"/>
    <n v="5171.4583333333339"/>
  </r>
  <r>
    <n v="84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990U,Technol.: 3LCD,Svetlost: 3800lm,Zdroj svetla: žiarovka 6000h,Rozlisenie: 1920x1200,Kontrast: 15000:1,Rozhrania: Miracast, JACK, RS232, Mikrofón, MHL, Kompozit, USB, HDMI, VGA, WIFI,Zaruka: 5"/>
    <n v="867.6"/>
    <n v="2"/>
    <n v="1735.2"/>
    <n v="709.95"/>
    <n v="1000"/>
    <n v="5171.4583333333339"/>
  </r>
  <r>
    <n v="85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700U,Technol.: 3LCD,Svetlost: 4000lm,Zdroj svetla: laser 20000h,Rozlisenie: 1920x1200,Kontrast: 2500000:1,Rozhrania: Miracast, JACK, RS232, Mikrofón, MHL, Kompozit, USB, HDMI, VGA, WIFI,Zaruka: 5"/>
    <n v="3218"/>
    <n v="2"/>
    <n v="6436"/>
    <n v="709.95"/>
    <n v="1000"/>
    <n v="5171.4583333333339"/>
  </r>
  <r>
    <n v="86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2265U,Technol.: 3LCD,Svetlost: 5500lm,Zdroj svetla: žiarovka 5000h,Rozlisenie: 1920x1200,Kontrast: 15000:1,Rozhrania: Miracast, JACK, RS232, Mikrofón, MHL, Kompozit, USB, HDMI, VGA, LAN, WIFI,Zaruka: 5"/>
    <n v="1835.4"/>
    <n v="2"/>
    <n v="3670.8"/>
    <n v="709.95"/>
    <n v="1000"/>
    <n v="5171.4583333333339"/>
  </r>
  <r>
    <n v="87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300U,Technol.: 3LCD,Svetlost: 8000lm,Zdroj svetla: laser 20000h,Rozlisenie: 1920x1200+emul.4K,Kontrast: 2500000:1,Rozhrania: BNC, Miracast, JACK, RS232, Mikrofón, USB, DVI, HDMI, VGA, LAN, WIFI,Zaruka: 5"/>
    <n v="11272.7"/>
    <n v="2"/>
    <n v="22545.4"/>
    <n v="709.95"/>
    <n v="1000"/>
    <n v="5171.4583333333339"/>
  </r>
  <r>
    <n v="88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755U,Technol.: 3LCD,Svetlost: 15000lm,Zdroj svetla: laser 20000h,Rozlisenie: 1920x1200+emul.4K,Kontrast: 2500000:1,Rozhrania: BNC, Miracast, JACK, RS232, Mikrofón, USB, DVI, HDMI, VGA, LAN, WIFI,Zaruka: 5"/>
    <n v="33708.5"/>
    <n v="1"/>
    <n v="33708.5"/>
    <n v="709.95"/>
    <n v="1000"/>
    <n v="5171.4583333333339"/>
  </r>
  <r>
    <n v="8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My Passport,Vyhot.: externý,Kapacita: 1TB,Rozmer: 2,5&quot;,Druh: HDD5400,Rozhranie: USB 3.0,Cache: 8MB,Zaruka: neuvedené"/>
    <n v="52.8"/>
    <n v="20"/>
    <n v="1056"/>
    <n v="55.5"/>
    <n v="91.88"/>
    <n v="148.36000000000001"/>
  </r>
  <r>
    <n v="9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My Passport,Vyhot.: externý,Kapacita: 2TB,Rozmer: 2,5&quot;,Druh: HDD5400,Rozhranie: USB 3.0,Cache: 8MB,Zaruka: neuvedené"/>
    <n v="73"/>
    <n v="20"/>
    <n v="1460"/>
    <n v="55.5"/>
    <n v="91.88"/>
    <n v="148.36000000000001"/>
  </r>
  <r>
    <n v="9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My Passport,Vyhot.: externý,Kapacita: 4TB,Rozmer: 2,5&quot;,Druh: HDD5400,Rozhranie: USB 3.0,Cache: 8MB,Zaruka: neuvedené"/>
    <n v="107.1"/>
    <n v="20"/>
    <n v="2142"/>
    <n v="55.5"/>
    <n v="91.88"/>
    <n v="148.36000000000001"/>
  </r>
  <r>
    <n v="9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700,Vyhot.: externý,Kapacita: 256GB,Rozmer: 2,5&quot;,Druh: SSD,Rozhranie: USB 3.1,Cache: bez,Zaruka: neuvedené"/>
    <n v="55.4"/>
    <n v="10"/>
    <n v="554"/>
    <n v="55.5"/>
    <n v="91.88"/>
    <n v="148.36000000000001"/>
  </r>
  <r>
    <n v="9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600,Vyhot.: externý,Kapacita: 512GB,Rozmer: 2,5&quot;,Druh: SSD,Rozhranie: USB 3.1,Cache: bez,Zaruka: neuvedené"/>
    <n v="79.099999999999994"/>
    <n v="10"/>
    <n v="791"/>
    <n v="55.5"/>
    <n v="91.88"/>
    <n v="148.36000000000001"/>
  </r>
  <r>
    <n v="9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700,Vyhot.: externý,Kapacita: 1TB,Rozmer: 2,5&quot;,Druh: SSD,Rozhranie: USB 3.1,Cache: bez,Zaruka: neuvedené"/>
    <n v="120.2"/>
    <n v="5"/>
    <n v="601"/>
    <n v="55.5"/>
    <n v="91.88"/>
    <n v="148.36000000000001"/>
  </r>
  <r>
    <n v="95"/>
    <s v="Rámcová dohoda na dodávku hardvéru informačných a komunikačných technológií pre Technickú univerzitu vo Zvolene"/>
    <n v="4185749"/>
    <s v="https://crz.gov.sk/4185749"/>
    <s v="https://www.crz.gov.sk/data/att/4185755_dokument1.pdf"/>
    <x v="5"/>
    <s v="Taška na notebook 14,1&quot;,Zaruka: neuvedené"/>
    <n v="12.3"/>
    <n v="2"/>
    <n v="24.6"/>
    <n v="17.549999999999997"/>
    <n v="275.8"/>
    <n v="11191.057499999999"/>
  </r>
  <r>
    <n v="96"/>
    <s v="Rámcová dohoda na dodávku hardvéru informačných a komunikačných technológií pre Technickú univerzitu vo Zvolene"/>
    <n v="4185749"/>
    <s v="https://crz.gov.sk/4185749"/>
    <s v="https://www.crz.gov.sk/data/att/4185755_dokument1.pdf"/>
    <x v="5"/>
    <s v="Taška na notebook 17,3&quot;,Zaruka: neuvedené"/>
    <n v="11.2"/>
    <n v="2"/>
    <n v="22.4"/>
    <n v="17.549999999999997"/>
    <n v="275.8"/>
    <n v="11191.057499999999"/>
  </r>
  <r>
    <n v="9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SSP-350ST 80+,Vyhot.: ATX,Vykon: 350W,Zaruka: neuvedené"/>
    <n v="32.299999999999997"/>
    <n v="20"/>
    <n v="646"/>
    <n v="35.864999999999995"/>
    <n v="54.65"/>
    <n v="66.5"/>
  </r>
  <r>
    <n v="9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SSP-450RT 80+,Vyhot.: ATX,Vykon: 450W,Zaruka: neuvedené"/>
    <n v="54.7"/>
    <n v="10"/>
    <n v="547"/>
    <n v="35.864999999999995"/>
    <n v="54.65"/>
    <n v="66.5"/>
  </r>
  <r>
    <n v="9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Focus Plus SSP-750FX 80+ GOLD,Vyhot.: ATX,Vykon: 750W,Zaruka: neuvedené"/>
    <n v="95.8"/>
    <n v="5"/>
    <n v="479"/>
    <n v="35.864999999999995"/>
    <n v="54.65"/>
    <n v="66.5"/>
  </r>
  <r>
    <n v="10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10EZEX,Vyhot.: interný,Kapacita: 1TB,Rozmer: 3,5&quot;,Druh: HDD5400,Rozhranie: SATA III,Cache: 64MB,Zaruka: neuvedené"/>
    <n v="43.6"/>
    <n v="5"/>
    <n v="218"/>
    <n v="55.5"/>
    <n v="91.88"/>
    <n v="148.36000000000001"/>
  </r>
  <r>
    <n v="10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20EZRZ,Vyhot.: interný,Kapacita: 2TB,Rozmer: 3,5&quot;,Druh: HDD5400,Rozhranie: SATA III,Cache: 64MB,Zaruka: neuvedené"/>
    <n v="60.2"/>
    <n v="5"/>
    <n v="301"/>
    <n v="55.5"/>
    <n v="91.88"/>
    <n v="148.36000000000001"/>
  </r>
  <r>
    <n v="10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30EZRZ,Vyhot.: interný,Kapacita: 3TB,Rozmer: 3,5&quot;,Druh: HDD5400,Rozhranie: SATA III,Cache: 64MB,Zaruka: neuvedené"/>
    <n v="87.8"/>
    <n v="5"/>
    <n v="439"/>
    <n v="55.5"/>
    <n v="91.88"/>
    <n v="148.36000000000001"/>
  </r>
  <r>
    <n v="10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40EZRZ,Vyhot.: interný,Kapacita: 4TB,Rozmer: 3,5&quot;,Druh: HDD5400,Rozhranie: SATA III,Cache: 64MB,Zaruka: neuvedené"/>
    <n v="101.3"/>
    <n v="5"/>
    <n v="506.5"/>
    <n v="55.5"/>
    <n v="91.88"/>
    <n v="148.36000000000001"/>
  </r>
  <r>
    <n v="10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2,5&quot;,Druh: SSD,Rozhranie: SATA 6Gb/s,Cache: bez,Zaruka: neuvedené"/>
    <n v="55.5"/>
    <n v="20"/>
    <n v="1110"/>
    <n v="55.5"/>
    <n v="91.88"/>
    <n v="148.36000000000001"/>
  </r>
  <r>
    <n v="10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2,5&quot;,Druh: SSD,Rozhranie: SATA 6Gb/s,Cache: bez,Zaruka: neuvedené"/>
    <n v="97.3"/>
    <n v="10"/>
    <n v="973"/>
    <n v="55.5"/>
    <n v="91.88"/>
    <n v="148.36000000000001"/>
  </r>
  <r>
    <n v="10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amsung EVO 860,Vyhot.: interný,Kapacita: 1TB,Rozmer: 2,5&quot;,Druh: SSD,Rozhranie: SATA 6Gb/s,Cache: bez,Zaruka: neuvedené"/>
    <n v="143.80000000000001"/>
    <n v="5"/>
    <n v="719"/>
    <n v="55.5"/>
    <n v="91.88"/>
    <n v="148.36000000000001"/>
  </r>
  <r>
    <n v="10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karta,Druh: SSD,Rozhranie: NVMe,Cache: bez,Zaruka: neuvedené"/>
    <n v="57.9"/>
    <n v="5"/>
    <n v="289.5"/>
    <n v="55.5"/>
    <n v="91.88"/>
    <n v="148.36000000000001"/>
  </r>
  <r>
    <n v="10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karta,Druh: SSD,Rozhranie: NVMe,Cache: bez,Zaruka: neuvedené"/>
    <n v="99.5"/>
    <n v="5"/>
    <n v="497.5"/>
    <n v="55.5"/>
    <n v="91.88"/>
    <n v="148.36000000000001"/>
  </r>
  <r>
    <n v="10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660p Series,Vyhot.: interný,Kapacita: 1TB,Rozmer: karta,Druh: SSD,Rozhranie: NVMe,Cache: bez,Zaruka: neuvedené"/>
    <n v="100.4"/>
    <n v="5"/>
    <n v="502"/>
    <n v="55.5"/>
    <n v="91.88"/>
    <n v="148.36000000000001"/>
  </r>
  <r>
    <n v="11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TRANSCEND 2Rx8 CL5,Druh: DIMM,Kapacita: 2GB,Generacia: DDR2,Frekv.: 667MHz,Zaruka: neuvedené"/>
    <n v="24.7"/>
    <n v="20"/>
    <n v="494"/>
    <n v="22.082500000000003"/>
    <n v="31.15"/>
    <n v="48.125"/>
  </r>
  <r>
    <n v="11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,Druh: DIMM,Kapacita: 4GB,Generacia: DDR3,Frekv.: 1333MHz,Zaruka: neuvedené"/>
    <n v="16.399999999999999"/>
    <n v="20"/>
    <n v="328"/>
    <n v="22.082500000000003"/>
    <n v="31.15"/>
    <n v="48.125"/>
  </r>
  <r>
    <n v="11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,Druh: DIMM,Kapacita: 8GB,Generacia: DDR3,Frekv.: 1333MHz,Zaruka: neuvedené"/>
    <n v="33.799999999999997"/>
    <n v="5"/>
    <n v="169"/>
    <n v="22.082500000000003"/>
    <n v="31.15"/>
    <n v="48.125"/>
  </r>
  <r>
    <n v="11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16 CL17,Druh: DIMM,Kapacita: 4GB,Generacia: DDR4,Frekv.: 2400MHz,Zaruka: neuvedené"/>
    <n v="17.100000000000001"/>
    <n v="5"/>
    <n v="85.5"/>
    <n v="22.082500000000003"/>
    <n v="31.15"/>
    <n v="48.125"/>
  </r>
  <r>
    <n v="11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DIMM,Kapacita: 8GB,Generacia: DDR4,Frekv.: 2400MHz,Zaruka: neuvedené"/>
    <n v="31.5"/>
    <n v="5"/>
    <n v="157.5"/>
    <n v="22.082500000000003"/>
    <n v="31.15"/>
    <n v="48.125"/>
  </r>
  <r>
    <n v="11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DIMM,Kapacita: 16GB,Generacia: DDR4,Frekv.: 2400MHz,Zaruka: neuvedené"/>
    <n v="60.3"/>
    <n v="5"/>
    <n v="301.5"/>
    <n v="22.082500000000003"/>
    <n v="31.15"/>
    <n v="48.125"/>
  </r>
  <r>
    <n v="11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TRANSCEND 1Rx16 CL5,Druh: SODIMM,Kapacita: 2GB,Generacia: DDR2,Frekv.: 667MHz,Zaruka: neuvedené"/>
    <n v="23.9"/>
    <n v="10"/>
    <n v="239"/>
    <n v="22.082500000000003"/>
    <n v="31.15"/>
    <n v="48.125"/>
  </r>
  <r>
    <n v="11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SR X8 CL9,Druh: SODIMM,Kapacita: 4GB,Generacia: DDR3,Frekv.: 1333MHz,Zaruka: neuvedené"/>
    <n v="16.399999999999999"/>
    <n v="5"/>
    <n v="82"/>
    <n v="22.082500000000003"/>
    <n v="31.15"/>
    <n v="48.125"/>
  </r>
  <r>
    <n v="11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SR X8 CL9,Druh: SODIMM,Kapacita: 8GB,Generacia: DDR3,Frekv.: 1333MHz,Zaruka: neuvedené"/>
    <n v="33.799999999999997"/>
    <n v="5"/>
    <n v="169"/>
    <n v="22.082500000000003"/>
    <n v="31.15"/>
    <n v="48.125"/>
  </r>
  <r>
    <n v="11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17,Druh: SODIMM,Kapacita: 4GB,Generacia: DDR4,Frekv.: 2400MHz,Zaruka: neuvedené"/>
    <n v="17.100000000000001"/>
    <n v="5"/>
    <n v="85.5"/>
    <n v="22.082500000000003"/>
    <n v="31.15"/>
    <n v="48.125"/>
  </r>
  <r>
    <n v="12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SODIMM,Kapacita: 8GB,Generacia: DDR4,Frekv.: 2400MHz,Zaruka: neuvedené"/>
    <n v="31.5"/>
    <n v="5"/>
    <n v="157.5"/>
    <n v="22.082500000000003"/>
    <n v="31.15"/>
    <n v="48.125"/>
  </r>
  <r>
    <n v="12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SODIMM,Kapacita: 16GB,Generacia: DDR4,Frekv.: 2400MHz,Zaruka: neuvedené"/>
    <n v="62.3"/>
    <n v="5"/>
    <n v="311.5"/>
    <n v="22.082500000000003"/>
    <n v="31.15"/>
    <n v="48.125"/>
  </r>
  <r>
    <n v="12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T710 2GD3H H2D,Proc.: Passmark 650,RAM: 2GB GDDR3,Frekv. Jadra/RAM: 954/1600 MHz,Zbernica: PCIe x16 2.0,Vystupy: 2xDVI,HDMI,Zaruka: neuvedené"/>
    <n v="46.4"/>
    <n v="5"/>
    <n v="232"/>
    <n v="47.47"/>
    <n v="86.69"/>
    <n v="146.42500000000001"/>
  </r>
  <r>
    <n v="12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Quadro P400,Proc.: Passmark 1450,RAM: 2GB GDDR5,Frekv. Jadra/RAM: 1070/1752 MHz,Zbernica: PCIe x16 3.0,Vystupy: 3xminiDP,Zaruka: neuvedené"/>
    <n v="88.2"/>
    <n v="5"/>
    <n v="441"/>
    <n v="47.47"/>
    <n v="86.69"/>
    <n v="146.42500000000001"/>
  </r>
  <r>
    <n v="12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eForce RTX2080,Proc.: Passmark 15500,RAM: 8GB GDDR6,Frekv. Jadra/RAM: 1515/8x1750 MHz,Zbernica: PCIe x16 3.0,Vystupy: HDMI, 3xDP, USB-C,Zaruka: neuvedené"/>
    <n v="698.9"/>
    <n v="5"/>
    <n v="3494.5"/>
    <n v="47.47"/>
    <n v="86.69"/>
    <n v="146.42500000000001"/>
  </r>
  <r>
    <n v="125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418play,Technol.: SATA/iSCSI,Radic: RAID0-10,Cache: 4GB RAM,Disky: 4x WD RED NAS 6TB,Porty: 4 SATA,Vyhotovenie: na stôl,2x1Gb LAN,vzdialený prístup,Zaruka: 3 roky"/>
    <n v="1152.8"/>
    <n v="2"/>
    <n v="2305.6"/>
    <n v="2032"/>
    <n v="19360"/>
    <n v="87628.37"/>
  </r>
  <r>
    <n v="126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1819+,Technol.: SATA/iSCSI,Radic: RAID0-10,Cache: 20GB RAM,Disky: 8x WD RED NAS 6TB,Porty: 8 SATA,Vyhotovenie: na stôl,4x1Gb LAN,vzdialený prístup, Zaruka: 3 roky"/>
    <n v="2356.1999999999998"/>
    <n v="1"/>
    <n v="2356.1999999999998"/>
    <n v="2032"/>
    <n v="19360"/>
    <n v="87628.37"/>
  </r>
  <r>
    <n v="127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RS3617xs+,Technol.: SATA/iSCSI,Radic: RAID0-10,Cache: 24GB RAM,Disky: 2x Intel SSD 960GB, 10x WD RED NAS 6TB,Porty: 12 SATA,Vyhotovenie: rackmount,4x1Gb + 2x10Gb LAN,vzdialený prístup,Zaruka: 5"/>
    <n v="6298.5"/>
    <n v="1"/>
    <n v="6298.5"/>
    <n v="2032"/>
    <n v="19360"/>
    <n v="87628.37"/>
  </r>
  <r>
    <n v="128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HP MSA2052,Technol.: iSCSI/FC,Radic: 2xRAID0-10,Cache: 2x8GB,Disky: 24x 1.8TB HDD 10000RPM + 12x 4TB HDD,Porty: 12 SATA,Vyhotovenie: rackmount,4x1Gb + 2x10Gb LAN,vzdialený prístup,Zaruka: 5+4HOD"/>
    <n v="34185.599999999999"/>
    <n v="1"/>
    <n v="34185.599999999999"/>
    <n v="2032"/>
    <n v="19360"/>
    <n v="87628.37"/>
  </r>
  <r>
    <n v="129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Microserver,Proc: CPU 4-core,6-gcore 3,2GHz,RAM: 16GB,Disk: HDD 2x 1TB,Radic: RAID1,0,10,Ethernet: 2x 1Gbps,GPU: Zdiel.,Vyhotovenie: neuvedené,OS nezávislý systém manažment,DVD-RW,Zaruka: 5+NBD"/>
    <n v="923.9"/>
    <n v="4"/>
    <n v="3695.6"/>
    <n v="7209.15"/>
    <n v="15534.78"/>
    <n v="29950.799999999999"/>
  </r>
  <r>
    <n v="130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325 gen10, Proc: 8 jadier,Passmark 11300 2,1GHz,RAM: 32GB,Disk: HDD 2x 300GB,Radic: RAID1,0,10, 2GB cache,Ethernet: 4x 1Gbps + 2x 10Gb SFP + 2x16Gb FC,GPU: Zdiel.,Vyhotovenie: 1U,OS nezávislý systém manažment,Zaruka: 5+NBD"/>
    <n v="5659.5"/>
    <n v="3"/>
    <n v="16978.5"/>
    <n v="7209.15"/>
    <n v="15534.78"/>
    <n v="29950.799999999999"/>
  </r>
  <r>
    <n v="131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360 gen10, Proc: 8 jadier,Passmark 10500 1,8GHz,RAM: 128GB,Disk: HDD 2x 300GB,Radic: RAID1,0,10, 2GB cache,Ethernet: 4x 1Gbps + 2x 10Gb SFP + 2x16Gb FC,GPU: Zdiel.,Vyhotovenie: 1U,OS nezávislý systém manažment,Zaruka: 5+NBD"/>
    <n v="7663"/>
    <n v="1"/>
    <n v="7663"/>
    <n v="7209.15"/>
    <n v="15534.78"/>
    <n v="29950.799999999999"/>
  </r>
  <r>
    <n v="132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580 gen10, Proc: 2x8 jadier,Passmark 2x10500 2x1,8GHz,RAM: 128GB,Disk: HDD 2x 300GB,Radic: RAID1,0,10, 2GB cache,Ethernet: 4x 1Gbps + 2x 10Gb SPF + 2x16Gb FC,GPU: Zdiel.,Vyhotovenie: 1U,OS nezávislý systém manažment,Zaruka: 5+NBD"/>
    <n v="29950.799999999999"/>
    <n v="1"/>
    <n v="29950.799999999999"/>
    <n v="7209.15"/>
    <n v="15534.78"/>
    <n v="29950.799999999999"/>
  </r>
  <r>
    <n v="13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24T-ON Switch,Porty/rychl.: 24x1Gbps + 4x10Gbps SFP,Uroven: 2,Vyhot.: 1U,VLAN: 512,manažovaný,Zaruka: neuvedené"/>
    <n v="2263.9"/>
    <n v="10"/>
    <n v="22639"/>
    <n v="1759.125"/>
    <n v="3923.7249999999999"/>
    <n v="12062.504999999999"/>
  </r>
  <r>
    <n v="13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48T-ON Switch,Porty/rychl.: 48x1Gbps + 4x10Gbps SFP,Uroven: 2,Vyhot.: 1U,VLAN: 512,manažovaný,Zaruka: neuvedené"/>
    <n v="2406.9"/>
    <n v="10"/>
    <n v="24069"/>
    <n v="1759.125"/>
    <n v="3923.7249999999999"/>
    <n v="12062.504999999999"/>
  </r>
  <r>
    <n v="13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24ET-ON Switch,Porty/rychl.: 24x1Gbps + 2xCombo RJ45/SFP + 4x10Gbps SFP,Uroven: 2/3,Vyhot.: 1U,VLAN: 4000,iSCSI,manažovaný,Zaruka: neuvedené"/>
    <n v="3964.4"/>
    <n v="3"/>
    <n v="11893.2"/>
    <n v="1759.125"/>
    <n v="3923.7249999999999"/>
    <n v="12062.504999999999"/>
  </r>
  <r>
    <n v="13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48ET-ON Switch,Porty/rychl.: 48x1Gbps + 2xCombo RJ45/SFP + 4x10Gbps SFP,Uroven: 2/3,Vyhot.: 1U,VLAN: 4000,iSCSI,manažovaný,Zaruka: neuvedené"/>
    <n v="4591.6000000000004"/>
    <n v="3"/>
    <n v="13774.800000000001"/>
    <n v="1759.125"/>
    <n v="3923.7249999999999"/>
    <n v="12062.504999999999"/>
  </r>
  <r>
    <n v="13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32F,Porty/rychl.: 12x10Gb SFP+ 2xQSFP + 10x LR4 40Gbe,Uroven: 2/3,Vyhot.: 1U,VLAN: 4000,iSCSI,nemanažovaný,Zaruka: neuvedené"/>
    <n v="18852.5"/>
    <n v="2"/>
    <n v="37705"/>
    <n v="1759.125"/>
    <n v="3923.7249999999999"/>
    <n v="12062.504999999999"/>
  </r>
  <r>
    <n v="13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64F,Porty/rychl.: 12x10Gb SFP+ 4xQSFP + 32x LR4 40Gbe,Uroven: 2/3,Vyhot.: 1U,VLAN: 4000,iSCSI,nemanažovaný,Zaruka: neuvedené"/>
    <n v="27832"/>
    <n v="1"/>
    <n v="27832"/>
    <n v="1759.125"/>
    <n v="3923.7249999999999"/>
    <n v="12062.504999999999"/>
  </r>
  <r>
    <n v="13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 PRO,Urcenie: exteriér,LAN: 2x1Gbps,Pasma: 2,4+5GHz,Rychl.: 450Mbps + 1300MBps,Normy: 802.11ac-af + PoE + MIMO 3x3,Roaming: áno,Max. SSID: 8,Zaruka: neuvedené"/>
    <n v="159.1"/>
    <n v="10"/>
    <n v="1591"/>
    <n v="88.21"/>
    <n v="134.57"/>
    <n v="252.7"/>
  </r>
  <r>
    <n v="14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,Urcenie: exteriér,LAN: 2x1Gbps,Pasma: 2,4+5GHz,Rychl.: 450Mbps + 1300MBps,Normy: 802.11ac-af + PoE + MIMO 3x3,Roaming: áno,Max. SSID: 8,Zaruka: neuvedené"/>
    <n v="80.2"/>
    <n v="6"/>
    <n v="481.20000000000005"/>
    <n v="88.21"/>
    <n v="134.57"/>
    <n v="252.7"/>
  </r>
  <r>
    <n v="14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R,Urcenie: interiér,LAN: 1x1Gbps,Pasma: 2,4+5GHz,Rychl.: 450Mbps + 867MBps,Normy: 802.11ac + PoE + MIMO 3x3/2x2,Roaming: áno,Max. SSID: 8,Zaruka: neuvedené"/>
    <n v="88.1"/>
    <n v="6"/>
    <n v="528.59999999999991"/>
    <n v="88.21"/>
    <n v="134.57"/>
    <n v="252.7"/>
  </r>
  <r>
    <n v="14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PRO,Urcenie: interiér,LAN: 1x1Gbps,Pasma: 2,4+5GHz,Rychl.: 450Mbps + 867MBps,Normy: 802.11ac + PoE + MIMO 3x3/2x2,Roaming: áno,Max. SSID: 8,Zaruka: neuvedené"/>
    <n v="126.7"/>
    <n v="10"/>
    <n v="1267"/>
    <n v="88.21"/>
    <n v="134.57"/>
    <n v="252.7"/>
  </r>
  <r>
    <n v="14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ITE,Urcenie: interiér,LAN: 1x1Gbps,Pasma: 2,4+5GHz,Rychl.: 300Mbps + 867MBps,Normy: 802.11ac + PoE + MIMO 3x3/2x2,Roaming: áno,Max. SSID: 8,Zaruka: neuvedené"/>
    <n v="71.599999999999994"/>
    <n v="4"/>
    <n v="286.39999999999998"/>
    <n v="88.21"/>
    <n v="134.57"/>
    <n v="252.7"/>
  </r>
  <r>
    <n v="14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500i UPS 500VA,Spinanie: Line-ineractive,Vykon: 300W,Vyhot.: Microtower,Zaruka: neuvedené"/>
    <n v="47.1"/>
    <n v="1"/>
    <n v="47.1"/>
    <n v="59.227499999999999"/>
    <n v="332.14"/>
    <n v="1331.8050000000001"/>
  </r>
  <r>
    <n v="14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650i UPS 650VA,Spinanie: Line-ineractive,Vykon: 360W,Vyhot.: Microtower,USB,Zaruka: neuvedené"/>
    <n v="52.2"/>
    <n v="1"/>
    <n v="52.2"/>
    <n v="59.227499999999999"/>
    <n v="332.14"/>
    <n v="1331.8050000000001"/>
  </r>
  <r>
    <n v="14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1500i UPS 1500VA,Spinanie: Line-ineractive,Vykon: 900W,Vyhot.: Microtower,USB,Zaruka: neuvedené"/>
    <n v="129.1"/>
    <n v="1"/>
    <n v="129.1"/>
    <n v="59.227499999999999"/>
    <n v="332.14"/>
    <n v="1331.8050000000001"/>
  </r>
  <r>
    <n v="14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850i Rack1U UPS 850VA,Spinanie: Line-ineractive,Vykon: 600W,Vyhot.: 1U,USB,RS232,Zaruka: neuvedené"/>
    <n v="422.2"/>
    <n v="1"/>
    <n v="422.2"/>
    <n v="59.227499999999999"/>
    <n v="332.14"/>
    <n v="1331.8050000000001"/>
  </r>
  <r>
    <n v="14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1500i RT2U UPS 1500VA,Spinanie: Online,Vykon: 1500W,Vyhot.: 2U,LAN,USB,RS232,Zaruka: neuvedené"/>
    <n v="1114"/>
    <n v="1"/>
    <n v="1114"/>
    <n v="59.227499999999999"/>
    <n v="332.14"/>
    <n v="1331.8050000000001"/>
  </r>
  <r>
    <n v="14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3000i RT2U Netpack UPS 3000VA,Spinanie: Online,Vykon: 3000W,Vyhot.: 2U,LAN,USB,RS232,Zaruka: neuvedené"/>
    <n v="1984"/>
    <n v="1"/>
    <n v="1984"/>
    <n v="59.227499999999999"/>
    <n v="332.14"/>
    <n v="1331.8050000000001"/>
  </r>
  <r>
    <n v="15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30 G6,Proc.: 4-jadro passmark 7900,RAM: 8GB,Disk: SSD NVMe 256GB,VGA: zdiel.,Disp: FHD,OS: Win10Pro, podsv. klávesnica,TPM,bez dokovacej stanice,Zaruka: 3"/>
    <n v="738.46"/>
    <n v="30"/>
    <n v="22153.800000000003"/>
    <n v="783.15"/>
    <n v="1196.3"/>
    <n v="1455.5"/>
  </r>
  <r>
    <n v="15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30 G5,Proc.: 4-jadro passmark 8200,RAM: 8GB,Disk: SSD NVMe 512GB,VGA: zdiel.,Disp: FHD,OS: Win10Pro,WWAN, podsv. klávesnica,TPM,bez dokovacej stanice,Zaruka: 3"/>
    <n v="1275.32"/>
    <n v="15"/>
    <n v="19129.8"/>
    <n v="783.15"/>
    <n v="1196.3"/>
    <n v="1455.5"/>
  </r>
  <r>
    <n v="15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2-jadro passmark 5000,RAM: 8GB,Disk: SSD NVMe 256GB,VGA: zdiel.,Disp: FHD,OS: Win10Pro,podsv. klávesnica,TPM,bez dokovacej stanice,Zaruka: 3"/>
    <n v="673.75"/>
    <n v="30"/>
    <n v="20212.5"/>
    <n v="783.15"/>
    <n v="1196.3"/>
    <n v="1455.5"/>
  </r>
  <r>
    <n v="15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x360 440 G1,Proc.: 4-jadro passmark 7600,RAM: 8GB,Disk: SSD NVMe 256GB,VGA: zdiel.,Disp: FHD,OS: Win10Pro,podsv. klávesnica,TPM,bez dokovacej stanice,Zaruka: 3"/>
    <n v="781.2"/>
    <n v="18"/>
    <n v="14061.6"/>
    <n v="783.15"/>
    <n v="1196.3"/>
    <n v="1455.5"/>
  </r>
  <r>
    <n v="15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40 G5,Proc.: 4-jadro passmark 8200,RAM: 16GB,Disk: SSD NVMe 512GB,VGA: zdiel.,Disp: FHD,OS: Win10Pro,WWAN, podsv. klávesnica,TPM,bez dokovacej stanice,Zaruka: 3"/>
    <n v="1287.08"/>
    <n v="10"/>
    <n v="12870.8"/>
    <n v="783.15"/>
    <n v="1196.3"/>
    <n v="1455.5"/>
  </r>
  <r>
    <n v="15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2-jadro passmark 5300,RAM: 8GB,Disk: SSD NVMe 256GB,VGA: zdiel.,Disp: FHD,OS: Win10Pro,podsv. klávesnica,TPM,bez dokovacej stanice,Zaruka: 3"/>
    <n v="644.73"/>
    <n v="25"/>
    <n v="16118.25"/>
    <n v="783.15"/>
    <n v="1196.3"/>
    <n v="1455.5"/>
  </r>
  <r>
    <n v="15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7900,RAM: 8GB,Disk: SSD NVMe 256GB,VGA: zdiel.,Disp: FHD,OS: Win10Pro,podsv. klávesnica,TPM,bez dokovacej stanice,Zaruka: 3"/>
    <n v="728.26"/>
    <n v="10"/>
    <n v="7282.6"/>
    <n v="783.15"/>
    <n v="1196.3"/>
    <n v="1455.5"/>
  </r>
  <r>
    <n v="15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8900,RAM: 8GB,Disk: SSD NVMe 256GB,VGA: zdiel.,Disp: FHD,OS: Win10Pro,podsv. klávesnica,TPM,bez dokovacej stanice,Zaruka: 3"/>
    <n v="828.26"/>
    <n v="10"/>
    <n v="8282.6"/>
    <n v="783.15"/>
    <n v="1196.3"/>
    <n v="1455.5"/>
  </r>
  <r>
    <n v="15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Air 13&quot;,Proc.: 2-jadro passmark 4000,RAM: 8GB,Disk: SSD PCIe 256GB,VGA: zdiel.,Disp: 2560x1600,OS:macOS Mojave,podsv. klávesnica,bez dokovacej stanice,Zaruka: 2"/>
    <n v="1505.38"/>
    <n v="3"/>
    <n v="4516.1400000000003"/>
    <n v="783.15"/>
    <n v="1196.3"/>
    <n v="1455.5"/>
  </r>
  <r>
    <n v="15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3&quot;,Proc.: 4-jadro passmark 10900,RAM: 8GB,Disk: SSD PCIe 256GB,VGA: zdiel.,Disp: 2560x1600,OS:macOS Mojave,podsv. klávesnica,bez dokovacej stanice,Zaruka: 2"/>
    <n v="1939.35"/>
    <n v="3"/>
    <n v="5818.0499999999993"/>
    <n v="783.15"/>
    <n v="1196.3"/>
    <n v="1455.5"/>
  </r>
  <r>
    <n v="16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5&quot;,Proc.: 6-jadro passmark 12400,RAM: 16GB,Disk: SSD 256GB,VGA: nezdiel. 3GD 3100,Disp: 2880x1800,OS:macOS Mojave,podsv. klávesnica,bez dokovacej stanice,Zaruka: 2"/>
    <n v="2618.39"/>
    <n v="3"/>
    <n v="7855.17"/>
    <n v="783.15"/>
    <n v="1196.3"/>
    <n v="1455.5"/>
  </r>
  <r>
    <n v="16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Samsung Galaxy Tab A 10.5,Proc.: 8-jadro 1.8GHz,RAM: 3GB,Disk: CF 32GB,Disp.: 1920x1200,OS: Android,Fotoaparat 2x,bluetooth,wifi,gps,4g/lte,Zaruka: neuvedené"/>
    <n v="307.64999999999998"/>
    <n v="10"/>
    <n v="3076.5"/>
    <n v="307.64999999999998"/>
    <n v="533.63"/>
    <n v="761.32"/>
  </r>
  <r>
    <n v="16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64GB,Proc.: 64-bit,RAM: neuvedené,Disk: CF 64GB,Disp.: retina,OS: iOS12,wifi,Zaruka: neuvedené"/>
    <n v="583.49"/>
    <n v="5"/>
    <n v="2917.45"/>
    <n v="307.64999999999998"/>
    <n v="533.63"/>
    <n v="761.32"/>
  </r>
  <r>
    <n v="16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128GB,Proc.: 64-bit,RAM: neuvedené,Disk: CF 128GB,Disp.: retina,OS: iOS11,wifi,Zaruka: neuvedené"/>
    <n v="564.66"/>
    <n v="5"/>
    <n v="2823.2999999999997"/>
    <n v="307.64999999999998"/>
    <n v="533.63"/>
    <n v="761.32"/>
  </r>
  <r>
    <n v="16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256GB,Proc.: 64-bit,RAM: neuvedené,Disk: CF 256GB,Disp.: retina,OS: iOS12,wifi,Zaruka: neuvedené"/>
    <n v="851.72"/>
    <n v="5"/>
    <n v="4258.6000000000004"/>
    <n v="307.64999999999998"/>
    <n v="533.63"/>
    <n v="761.32"/>
  </r>
  <r>
    <n v="165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4-jadro passmark 8000,RAM: 8GB,Disk: SSD NVMe 256GB,VGA: zdiel,OS: Win10Pro,klávesnica,myš,DVD,Zaruka: 3"/>
    <n v="638.07000000000005"/>
    <n v="30"/>
    <n v="19142.100000000002"/>
    <n v="680"/>
    <n v="991"/>
    <n v="1485.8333333333335"/>
  </r>
  <r>
    <n v="166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1900,RAM: 8GB,Disk: SSD NVMe 256GB,VGA: zdiel,OS: Win10Pro,klávesnica,myš,DVD,Zaruka: 3+NBD"/>
    <n v="634.54"/>
    <n v="50"/>
    <n v="31727"/>
    <n v="680"/>
    <n v="991"/>
    <n v="1485.8333333333335"/>
  </r>
  <r>
    <n v="167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5100,RAM: 8GB,Disk: SSD NVMe 256GB,VGA: zdiel,OS: Win10Pro,klávesnica,myš,DVD,Zaruka: 3+NBD"/>
    <n v="758.07"/>
    <n v="30"/>
    <n v="22742.100000000002"/>
    <n v="680"/>
    <n v="991"/>
    <n v="1485.8333333333335"/>
  </r>
  <r>
    <n v="168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1900,RAM: 8GB,Disk: SSD NVMe 256GB,VGA: nezdiel. 3GD 8450,OS: Win10Pro,klávesnica,myš,DVD,Zaruka: neuvedené"/>
    <n v="993.36"/>
    <n v="20"/>
    <n v="19867.2"/>
    <n v="680"/>
    <n v="991"/>
    <n v="1485.8333333333335"/>
  </r>
  <r>
    <n v="169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256GB,VGA: nezdiel. 3GD 3640,OS: Win10Pro,klávesnica,myš,DVD,Zaruka: neuvedené"/>
    <n v="1122.78"/>
    <n v="20"/>
    <n v="22455.599999999999"/>
    <n v="680"/>
    <n v="991"/>
    <n v="1485.8333333333335"/>
  </r>
  <r>
    <n v="170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512GB,VGA: nezdiel. 3GD 8900,OS: Win10Pro,klávesnica,myš,DVD,Zaruka: neuvedené"/>
    <n v="1205.1300000000001"/>
    <n v="20"/>
    <n v="24102.600000000002"/>
    <n v="680"/>
    <n v="991"/>
    <n v="1485.8333333333335"/>
  </r>
  <r>
    <n v="171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00 G4 AiO 20NT,Proc: 4-jadro passmark 7300,RAM: 8GB,Disk: SSD NVMe 256GB,VGA: zdiel.,OS: Win10Pro,klávesnica,myš,DVD,Zaruka: neuvedené"/>
    <n v="658.07"/>
    <n v="20"/>
    <n v="13161.400000000001"/>
    <n v="680"/>
    <n v="991"/>
    <n v="1485.8333333333335"/>
  </r>
  <r>
    <n v="172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40 G4 AiO 23.8NT,Proc: 6-jadro passmark 9900,RAM: 8GB,Disk: SSD NVMe 256GB,VGA: zdiel.,OS: Win10Pro,klávesnica,myš,DVD,Zaruka: neuvedené"/>
    <n v="763.95"/>
    <n v="10"/>
    <n v="7639.5"/>
    <n v="680"/>
    <n v="991"/>
    <n v="1485.8333333333335"/>
  </r>
  <r>
    <n v="173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1900,RAM: 8GB,Disk: SSD NVMe 256GB,VGA: zdiel,OS: Win10Pro,klávesnica,myš,Zaruka: neuvedené"/>
    <n v="1240.42"/>
    <n v="10"/>
    <n v="12404.2"/>
    <n v="680"/>
    <n v="991"/>
    <n v="1485.8333333333335"/>
  </r>
  <r>
    <n v="174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5100,RAM: 16GB,Disk: SSD NVMe 512GB,VGA: zdiel,OS: Win10Pro,klávesnica,myš,Zaruka: neuvedené"/>
    <n v="1475.72"/>
    <n v="10"/>
    <n v="14757.2"/>
    <n v="680"/>
    <n v="991"/>
    <n v="1485.8333333333335"/>
  </r>
  <r>
    <n v="175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6-jadro passmark 15100,RAM: 16GB,Disk: HDD 1TB,VGA: zdiel,OS: Win10Pro,klávesnica,myš,DVD,Zaruka: neuvedené"/>
    <n v="1063.95"/>
    <n v="6"/>
    <n v="6383.7000000000007"/>
    <n v="680"/>
    <n v="991"/>
    <n v="1485.8333333333335"/>
  </r>
  <r>
    <n v="176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4-jadro passmark 12300,RAM: 16GB,Disk: SSD NVMe 256GB,VGA: zdiel,OS: Win10Pro,klávesnica,myš,DVD,Zaruka: neuvedené"/>
    <n v="1675.72"/>
    <n v="4"/>
    <n v="6702.88"/>
    <n v="680"/>
    <n v="991"/>
    <n v="1485.8333333333335"/>
  </r>
  <r>
    <n v="177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10-jadro passmark 21800,RAM: 32GB,Disk: SSD NVMe 512GB + HDD 4TB,VGA: zdiel,OS: Win10Pro,klávesnica,myš,DVD,Zaruka: neuvedené"/>
    <n v="2346.31"/>
    <n v="3"/>
    <n v="7038.93"/>
    <n v="680"/>
    <n v="991"/>
    <n v="1485.8333333333335"/>
  </r>
  <r>
    <n v="178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23V5LHSB2/00,Rozlisenie: 1920x1080,Frekv: 60 Hz,Velkost: 21,5&quot;,Kontrast: 600:1,Vstupy: VGA,HDMI,matný,Zaruka: neuvedené"/>
    <n v="71.41"/>
    <n v="50"/>
    <n v="3570.5"/>
    <n v="141.67500000000001"/>
    <n v="194"/>
    <n v="266.75"/>
  </r>
  <r>
    <n v="179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3V5LSB5/00,Rozlisenie: 1920x1080,Frekv: 60 Hz,Velkost: 23,6&quot;,Kontrast: 1000:1,Vstupy: VGA,DVI,matný,Zaruka: neuvedené"/>
    <n v="97.38"/>
    <n v="100"/>
    <n v="9738"/>
    <n v="141.67500000000001"/>
    <n v="194"/>
    <n v="266.75"/>
  </r>
  <r>
    <n v="180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1S4LCB/00,Rozlisenie: 1920x1080,Frekv: 60 Hz,Velkost: 24&quot;,Kontrast: 1000:1,Vstupy: VGA,DVI,matný, nastaviteľný,Zaruka: neuvedené"/>
    <n v="130.91"/>
    <n v="50"/>
    <n v="6545.5"/>
    <n v="141.67500000000001"/>
    <n v="194"/>
    <n v="266.75"/>
  </r>
  <r>
    <n v="181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1B8QJEB/00,Rozlisenie: 1920x1080,Frekv: 60 Hz,Velkost: 27&quot;,Kontrast: 1000:1,Vstupy: VGA,DVI,DP,HDMI,matný, nastaviteľný,Zaruka: neuvedené"/>
    <n v="183.91"/>
    <n v="30"/>
    <n v="5517.3"/>
    <n v="141.67500000000001"/>
    <n v="194"/>
    <n v="266.75"/>
  </r>
  <r>
    <n v="182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2P7VPTKEB/00,Rozlisenie: 3840x2160,Frekv: 60 Hz,Velkost: 27&quot;,Kontrast: 1300:1,Vstupy: VGA,DVI,miniDP,DP,HDMI,matný, nastaviteľný,Zaruka: neuvedené"/>
    <n v="313.72000000000003"/>
    <n v="10"/>
    <n v="3137.2000000000003"/>
    <n v="141.67500000000001"/>
    <n v="194"/>
    <n v="266.75"/>
  </r>
  <r>
    <n v="183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328P6VUBREB/00,Rozlisenie: 3840x2160,Frekv: 60 Hz,Velkost: 31,5&quot;,Kontrast: 3000:1,Vstupy: DP,HDMI,matný, nastaviteľný,Zaruka: neuvedené"/>
    <n v="492.96"/>
    <n v="10"/>
    <n v="4929.5999999999995"/>
    <n v="141.67500000000001"/>
    <n v="194"/>
    <n v="266.75"/>
  </r>
  <r>
    <n v="184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102a,Technologia: laser,Farba: nie,Formaty: A4,Rozhrania: USB,RAM: 128MB, Pam. Karta: nie,Zasobnik: 250,Rozlisenie: 600dpi,Duplex: nie,Zaruka: neuvedené"/>
    <n v="91.08"/>
    <n v="10"/>
    <n v="910.8"/>
    <n v="229.78"/>
    <n v="424.2"/>
    <n v="1030.3"/>
  </r>
  <r>
    <n v="185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4132dn,Technologia: led,Farba: nie,Formaty: A4,Rozhrania: USB, ethernet,RAM: 512MB,Pam. karta: 3GB,Zasobnik: 350,Rozlisenie: 1200dpi,Duplex: áno,Zaruka: neuvedené"/>
    <n v="244.71"/>
    <n v="10"/>
    <n v="2447.1"/>
    <n v="229.78"/>
    <n v="424.2"/>
    <n v="1030.3"/>
  </r>
  <r>
    <n v="186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203dn,Technologia: laser,Farba: nie,Formaty: A4,Rozhrania: USB, ethernet, airprint,RAM: 256MB,Pam. karta: nie,Zasobnik: 260,Rozlisenie: 1200dpi,Duplex: áno,Zaruka: neuvedené"/>
    <n v="154.79"/>
    <n v="10"/>
    <n v="1547.8999999999999"/>
    <n v="229.78"/>
    <n v="424.2"/>
    <n v="1030.3"/>
  </r>
  <r>
    <n v="187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7131dnw,Technologia: led,Farba: nie,Formaty: A4,Rozhrania: USB, ethernet, wifi, airprint,RAM: 256MB,Pam. karta: nie,Zasobnik: 630,Rozlisenie: 1200dpi,Duplex: áno,Zaruka: 3"/>
    <n v="664.71"/>
    <n v="2"/>
    <n v="1329.42"/>
    <n v="229.78"/>
    <n v="424.2"/>
    <n v="1030.3"/>
  </r>
  <r>
    <n v="188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Color LaserJet Pro M454dn,Technologia: laser,Farba: áno,Formaty: A4,Rozhrania: USB, ethernet, airprint, Airprint,RAM: 128MB,Pam. karta: 256MB,Zasobnik: 850,Rozlisenie: 600dpi,duplex: áno,Zaruka: 3+NBD"/>
    <n v="304.54000000000002"/>
    <n v="10"/>
    <n v="3045.4"/>
    <n v="229.78"/>
    <n v="424.2"/>
    <n v="1030.3"/>
  </r>
  <r>
    <n v="189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5432dn,Technologia: led,Farba: áno,Formaty: A4,Rozhrania: USB, ethernet, wifi, airprint,RAM: 1GB,Pam. karta: 3GB,Zasobnik: 350,Rozlisenie: 1200dpi,Duplex: áno,Zaruka: 3"/>
    <n v="576.47"/>
    <n v="6"/>
    <n v="3458.82"/>
    <n v="229.78"/>
    <n v="424.2"/>
    <n v="1030.3"/>
  </r>
  <r>
    <n v="190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4192dn MFP,Technologia: led,Farba: nie,Formaty: A4,Rozhrania: USB, ethernet, airprint,RAM: 1GB,Pam. karta: 3GB,Zasobnik: 850,R. tlace: 1200dpi,R. kopirky: 600dpi,R. skenera: 600dpi,Duplex: áno,Zaruka: 3"/>
    <n v="460"/>
    <n v="10"/>
    <n v="4600"/>
    <n v="393.94499999999999"/>
    <n v="710.01499999999999"/>
    <n v="2552.0574999999999"/>
  </r>
  <r>
    <n v="191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130a,Technologia: laser,Farba: nie,Formaty: A4,Rozhrania: USB,RAM: 128MB,Pam. karta: nie,Zasobnik: 150,R. tlace: 600dpi,R. kopirky: 600dpi,R. skenera: 600/1200dpi,Duplex: nie,Zaruka: 3+NBD"/>
    <n v="125.44"/>
    <n v="5"/>
    <n v="627.20000000000005"/>
    <n v="393.94499999999999"/>
    <n v="710.01499999999999"/>
    <n v="2552.0574999999999"/>
  </r>
  <r>
    <n v="192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227sdn,Technologia: laser,Farba: nie,Formaty: A4,Rozhrania: USB, ethernet, airprint,RAM: 256MB,Pam. karta: nie,Zasobnik: 260,R. tlace: 1200dpi,R. kopirky: 600dpi,R. skenera: 600/1200dpi,Duplex: áno,Zaruka: 3+NBD"/>
    <n v="205.85"/>
    <n v="5"/>
    <n v="1029.25"/>
    <n v="393.94499999999999"/>
    <n v="710.01499999999999"/>
    <n v="2552.0574999999999"/>
  </r>
  <r>
    <n v="193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,Technologia: led,Farba: áno,Formaty: A4,Rozhrania: USB, ethernet, wifi, airprint,RAM: 1GB,Pam. karta: 3GB,Zasobnik: 1350,R. tlace: 1200dpi,R. kopirky: 600dpi,R. skenera: 600dpi,Duplex: áno,Zaruka: 3"/>
    <n v="723.53"/>
    <n v="3"/>
    <n v="2170.59"/>
    <n v="393.94499999999999"/>
    <n v="710.01499999999999"/>
    <n v="2552.0574999999999"/>
  </r>
  <r>
    <n v="194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Color LaserJet Pro MFP M479dw,Technologia: laser,Farba: áno,Formaty: A4,Rozhrania: USB, ethernet, wifi, airprint,RAM: 512MB,Pam. karta: 512MB,Zasobnik: neuvedené,R. tlace: 600dpi,R. kopirky: 1200dpi,R. skenera: 1200dpi,Duplex: áno,Zaruka: 3+NBD"/>
    <n v="370.01"/>
    <n v="6"/>
    <n v="2220.06"/>
    <n v="393.94499999999999"/>
    <n v="710.01499999999999"/>
    <n v="2552.0574999999999"/>
  </r>
  <r>
    <n v="195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PageWide Pro MFP 477dw,Technologia: laser,Farba: áno,Formaty: A4,Rozhrania: USB, ethernet, wifi, airprint,RAM: 768MB,Pam. karta: nie,Zasobnik: neuvedené,R. tlace: 600dpi,R. kopirky: 1200dpi,R. skenera: 1200dpi,Duplex: áno,Zaruka: 3+NBD"/>
    <n v="518.91999999999996"/>
    <n v="4"/>
    <n v="2075.6799999999998"/>
    <n v="393.94499999999999"/>
    <n v="710.01499999999999"/>
    <n v="2552.0574999999999"/>
  </r>
  <r>
    <n v="196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,Technologia: led,Farba: áno,Formaty: A3,Rozhrania: USB, ethernet, wifi, airprint,RAM: 1,26GB,Pam. karta: HDD 250GB,Zasobnik: 1900,R. tlace: 1200x600dpi,R. kopirky: 600dpi,R. skenera: 600dpi,Duplex: áno,Zaruka: 3"/>
    <n v="2529.41"/>
    <n v="2"/>
    <n v="5058.82"/>
    <n v="393.94499999999999"/>
    <n v="710.01499999999999"/>
    <n v="2552.0574999999999"/>
  </r>
  <r>
    <n v="197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19, Format: A4, Rozlisenie: 4800dpi, Zasobnik: nie,Zaruka: neuvedené"/>
    <n v="68.209999999999994"/>
    <n v="5"/>
    <n v="341.04999999999995"/>
    <n v="112.19999999999999"/>
    <n v="252"/>
    <n v="2310"/>
  </r>
  <r>
    <n v="198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370 Photo, Format: A4, Rozlisenie: 4800dpi, Zasobnik: nie,Zaruka: neuvedené"/>
    <n v="138.19999999999999"/>
    <n v="5"/>
    <n v="691"/>
    <n v="112.19999999999999"/>
    <n v="252"/>
    <n v="2310"/>
  </r>
  <r>
    <n v="19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30, 24&quot;,Technologia: termálna atramentová,Farba: áno,Formaty: A1,Rozhrania: USB, ethernet, wifi,RAM: 1000MB,Pam. karta: nie,Zasobnik: automatická rezačka,Rozlisenie: 2400x1200dpi,Zaruka: neuvedené"/>
    <n v="1412.96"/>
    <n v="2"/>
    <n v="2825.92"/>
    <n v="1383.98"/>
    <n v="1866.7"/>
    <n v="4574.5833333333339"/>
  </r>
  <r>
    <n v="20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30, 36&quot;,Technologia: termálna atramentová,Farba: áno,Formaty: A0,Rozhrania: USB, ethernet, wifi,RAM: 1000MB,Pam. karta: nie,Zasobnik: automatická rezačka,Rozlisenie: 2400x1200dpi,Zaruka: neuvedené"/>
    <n v="1926.27"/>
    <n v="1"/>
    <n v="1926.27"/>
    <n v="1383.98"/>
    <n v="1866.7"/>
    <n v="4574.5833333333339"/>
  </r>
  <r>
    <n v="201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U42,Technol.: 3LCD,Svetlost: 3600lm,Zdroj svetla: žiarovka 6000h,Rozlisenie: 1920x1200,Kontrast: 15000:1,Rozhrania: Miracast, CINCH, MHL, Kompozit, USB, HDMI, VGA, WIFI, Zaruka: 5"/>
    <n v="670.59"/>
    <n v="10"/>
    <n v="6705.9000000000005"/>
    <n v="709.95"/>
    <n v="1000"/>
    <n v="5171.4583333333339"/>
  </r>
  <r>
    <n v="202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990U,Technol.: 3LCD,Svetlost: 3800lm,Zdroj svetla: žiarovka 6000h,Rozlisenie: 1920x1200,Kontrast: 15000:1,Rozhrania: Miracast, JACK, RS232, Mikrofón, MHL, Kompozit, USB, HDMI, VGA, WIFI,Zaruka: 5"/>
    <n v="829.41"/>
    <n v="2"/>
    <n v="1658.82"/>
    <n v="709.95"/>
    <n v="1000"/>
    <n v="5171.4583333333339"/>
  </r>
  <r>
    <n v="203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700U,Technol.: 3LCD,Svetlost: 4000lm,Zdroj svetla: laser 20000h,Rozlisenie: 1920x1200,Kontrast: 2500000:1,Rozhrania: Miracast, JACK, RS232, Mikrofón, MHL, Kompozit, USB, HDMI, VGA, WIFI,Zaruka: 5"/>
    <n v="2205.88"/>
    <n v="2"/>
    <n v="4411.76"/>
    <n v="709.95"/>
    <n v="1000"/>
    <n v="5171.4583333333339"/>
  </r>
  <r>
    <n v="204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2265U,Technol.: 3LCD,Svetlost: 5500lm,Zdroj svetla: žiarovka 5000h,Rozlisenie: 1920x1200,Kontrast: 15000:1,Rozhrania: Miracast, JACK, RS232, Mikrofón, MHL, Kompozit, USB, HDMI, VGA, LAN, WIFI,Zaruka: 5"/>
    <n v="1552.94"/>
    <n v="2"/>
    <n v="3105.88"/>
    <n v="709.95"/>
    <n v="1000"/>
    <n v="5171.4583333333339"/>
  </r>
  <r>
    <n v="205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300U,Technol.: 3LCD,Svetlost: 8000lm,Zdroj svetla: laser 20000h,Rozlisenie: 1920x1200+emul.4K,Kontrast: 2500000:1,Rozhrania: BNC, Miracast, JACK, RS232, Mikrofón, USB, DVI, HDMI, VGA, LAN, WIFI,Zaruka: 5"/>
    <n v="9176.4699999999993"/>
    <n v="2"/>
    <n v="18352.939999999999"/>
    <n v="709.95"/>
    <n v="1000"/>
    <n v="5171.4583333333339"/>
  </r>
  <r>
    <n v="206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755U,Technol.: 3LCD,Svetlost: 15000lm,Zdroj svetla: laser 20000h,Rozlisenie: 1920x1200+emul.4K,Kontrast: 2500000:1,Rozhrania: BNC, Miracast, JACK, RS232, Mikrofón, USB, DVI, HDMI, VGA, LAN, WIFI,Zaruka: 5"/>
    <n v="21428.57"/>
    <n v="1"/>
    <n v="21428.57"/>
    <n v="709.95"/>
    <n v="1000"/>
    <n v="5171.4583333333339"/>
  </r>
  <r>
    <n v="20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Expansion Portable,Vyhot.: externý,Kapacita: 1TB,Rozmer: 2,5&quot;,Druh: HDD5400,Rozhranie: USB 3.0,Cache: 8MB,Zaruka: neuvedené"/>
    <n v="59.81"/>
    <n v="20"/>
    <n v="1196.2"/>
    <n v="55.5"/>
    <n v="91.88"/>
    <n v="148.36000000000001"/>
  </r>
  <r>
    <n v="20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Expansion Portable,Vyhot.: externý,Kapacita: 2TB,Rozmer: 2,5&quot;,Druh: HDD5400,Rozhranie: USB 3.0,Cache: 8MB,Zaruka: neuvedené"/>
    <n v="83.31"/>
    <n v="20"/>
    <n v="1666.2"/>
    <n v="55.5"/>
    <n v="91.88"/>
    <n v="148.36000000000001"/>
  </r>
  <r>
    <n v="20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Expansion Portable,Vyhot.: externý,Kapacita: 4TB,Rozmer: 2,5&quot;,Druh: HDD5400,Rozhranie: USB 3.0,Cache: 8MB,Zaruka: neuvedené"/>
    <n v="108.94"/>
    <n v="20"/>
    <n v="2178.8000000000002"/>
    <n v="55.5"/>
    <n v="91.88"/>
    <n v="148.36000000000001"/>
  </r>
  <r>
    <n v="21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My Passport WD External SSD,Vyhot.: externý,Kapacita: 256GB,Rozmer: 2,5&quot;,Druh: SSD,Rozhranie: USB 3.1,Cache: bez,Zaruka: neuvedené"/>
    <n v="84.68"/>
    <n v="10"/>
    <n v="846.80000000000007"/>
    <n v="55.5"/>
    <n v="91.88"/>
    <n v="148.36000000000001"/>
  </r>
  <r>
    <n v="21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My Passport WD External SSD,Vyhot.: externý,Kapacita: 512GB,Rozmer: 2,5&quot;,Druh: SSD,Rozhranie: USB 3.1,Cache: bez,Zaruka: neuvedené"/>
    <n v="109.05"/>
    <n v="10"/>
    <n v="1090.5"/>
    <n v="55.5"/>
    <n v="91.88"/>
    <n v="148.36000000000001"/>
  </r>
  <r>
    <n v="21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My Passport WD External SSD,Vyhot.: externý,Kapacita: 1TB,Rozmer: 2,5&quot;,Druh: SSD,Rozhranie: USB 3.1,Cache: bez,Zaruka: neuvedené"/>
    <n v="185.79"/>
    <n v="5"/>
    <n v="928.94999999999993"/>
    <n v="55.5"/>
    <n v="91.88"/>
    <n v="148.36000000000001"/>
  </r>
  <r>
    <n v="213"/>
    <s v="Rámcová dohoda na dodávku hardvéru informačných a komunikačných technológií pre Technickú univerzitu vo Zvolene"/>
    <n v="4185749"/>
    <s v="https://crz.gov.sk/4185749"/>
    <s v="https://www.crz.gov.sk/data/att/4185755_dokument1.pdf"/>
    <x v="5"/>
    <s v="Taška na notebook 14,1&quot;,Zaruka: neuvedené"/>
    <n v="12.86"/>
    <n v="2"/>
    <n v="25.72"/>
    <n v="17.549999999999997"/>
    <n v="275.8"/>
    <n v="11191.057499999999"/>
  </r>
  <r>
    <n v="214"/>
    <s v="Rámcová dohoda na dodávku hardvéru informačných a komunikačných technológií pre Technickú univerzitu vo Zvolene"/>
    <n v="4185749"/>
    <s v="https://crz.gov.sk/4185749"/>
    <s v="https://www.crz.gov.sk/data/att/4185755_dokument1.pdf"/>
    <x v="5"/>
    <s v="Taška na notebook 17,3&quot;,Zaruka: neuvedené"/>
    <n v="11.67"/>
    <n v="2"/>
    <n v="23.34"/>
    <n v="17.549999999999997"/>
    <n v="275.8"/>
    <n v="11191.057499999999"/>
  </r>
  <r>
    <n v="21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Fortron HEXA 85+ 350,Vyhot.: ATX,Vykon: 350W,Zaruka: neuvedené"/>
    <n v="35.729999999999997"/>
    <n v="20"/>
    <n v="714.59999999999991"/>
    <n v="35.864999999999995"/>
    <n v="54.65"/>
    <n v="66.5"/>
  </r>
  <r>
    <n v="21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Fortron FSP500-60EGN 80PLUS GOLD,Vyhot.: ATX,Vykon: 500W,Zaruka: neuvedené"/>
    <n v="71.52"/>
    <n v="10"/>
    <n v="715.19999999999993"/>
    <n v="35.864999999999995"/>
    <n v="54.65"/>
    <n v="66.5"/>
  </r>
  <r>
    <n v="21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Focus Plus SSR-750PX 80+ PLATINUM,Vyhot.: ATX,Vykon: 750W,Zaruka: neuvedené"/>
    <n v="100.47"/>
    <n v="5"/>
    <n v="502.35"/>
    <n v="35.864999999999995"/>
    <n v="54.65"/>
    <n v="66.5"/>
  </r>
  <r>
    <n v="10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10EZEX,Vyhot.: interný,Kapacita: 1TB,Rozmer: 3,5&quot;,Druh: HDD5400,Rozhranie: SATA III,Cache: 64MB,Zaruka: neuvedené"/>
    <n v="45.59"/>
    <n v="5"/>
    <n v="227.95000000000002"/>
    <n v="55.5"/>
    <n v="91.88"/>
    <n v="148.36000000000001"/>
  </r>
  <r>
    <n v="10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20EZRZ,Vyhot.: interný,Kapacita: 2TB,Rozmer: 3,5&quot;,Druh: HDD5400,Rozhranie: SATA III,Cache: 64MB,Zaruka: neuvedené"/>
    <n v="63.02"/>
    <n v="5"/>
    <n v="315.10000000000002"/>
    <n v="55.5"/>
    <n v="91.88"/>
    <n v="148.36000000000001"/>
  </r>
  <r>
    <n v="21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30EZRZ,Vyhot.: interný,Kapacita: 3TB,Rozmer: 3,5&quot;,Druh: HDD5400,Rozhranie: SATA III,Cache: 64MB,Zaruka: neuvedené"/>
    <n v="91.88"/>
    <n v="5"/>
    <n v="459.4"/>
    <n v="55.5"/>
    <n v="91.88"/>
    <n v="148.36000000000001"/>
  </r>
  <r>
    <n v="21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40EZRZ,Vyhot.: interný,Kapacita: 4TB,Rozmer: 3,5&quot;,Druh: HDD5400,Rozhranie: SATA III,Cache: 64MB,Zaruka: neuvedené"/>
    <n v="106.05"/>
    <n v="5"/>
    <n v="530.25"/>
    <n v="55.5"/>
    <n v="91.88"/>
    <n v="148.36000000000001"/>
  </r>
  <r>
    <n v="22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2,5&quot;,Druh: SSD,Rozhranie: SATA 6Gb/s,Cache: bez,Zaruka: neuvedené"/>
    <n v="58.05"/>
    <n v="20"/>
    <n v="1161"/>
    <n v="55.5"/>
    <n v="91.88"/>
    <n v="148.36000000000001"/>
  </r>
  <r>
    <n v="22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2,5&quot;,Druh: SSD,Rozhranie: SATA 6Gb/s,Cache: bez,Zaruka: neuvedené"/>
    <n v="101.84"/>
    <n v="10"/>
    <n v="1018.4000000000001"/>
    <n v="55.5"/>
    <n v="91.88"/>
    <n v="148.36000000000001"/>
  </r>
  <r>
    <n v="22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amsung EVO 860,Vyhot.: interný,Kapacita: 1TB,Rozmer: 2,5&quot;,Druh: SSD,Rozhranie: SATA 6Gb/s,Cache: bez,Zaruka: neuvedené"/>
    <n v="150.53"/>
    <n v="5"/>
    <n v="752.65"/>
    <n v="55.5"/>
    <n v="91.88"/>
    <n v="148.36000000000001"/>
  </r>
  <r>
    <n v="22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karta,Druh: SSD,Rozhranie: NVMe,Cache: bez,Zaruka: neuvedené"/>
    <n v="60.56"/>
    <n v="5"/>
    <n v="302.8"/>
    <n v="55.5"/>
    <n v="91.88"/>
    <n v="148.36000000000001"/>
  </r>
  <r>
    <n v="22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karta,Druh: SSD,Rozhranie: NVMe,Cache: bez,Zaruka: neuvedené"/>
    <n v="104.08"/>
    <n v="5"/>
    <n v="520.4"/>
    <n v="55.5"/>
    <n v="91.88"/>
    <n v="148.36000000000001"/>
  </r>
  <r>
    <n v="22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660p Series,Vyhot.: interný,Kapacita: 1TB,Rozmer: karta,Druh: SSD,Rozhranie: NVMe,Cache: bez,Zaruka: neuvedené"/>
    <n v="105.05"/>
    <n v="5"/>
    <n v="525.25"/>
    <n v="55.5"/>
    <n v="91.88"/>
    <n v="148.36000000000001"/>
  </r>
  <r>
    <n v="22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Crucial CL5,Druh: DIMM,Kapacita: 2GB,Generacia: DDR2,Frekv.: 667MHz,Zaruka: neuvedené"/>
    <n v="25.62"/>
    <n v="20"/>
    <n v="512.4"/>
    <n v="22.082500000000003"/>
    <n v="31.15"/>
    <n v="48.125"/>
  </r>
  <r>
    <n v="22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 SRx8,Druh: DIMM,Kapacita: 4GB,Generacia: DDR3,Frekv.: 1333MHz,Zaruka: neuvedené"/>
    <n v="17.45"/>
    <n v="20"/>
    <n v="349"/>
    <n v="22.082500000000003"/>
    <n v="31.15"/>
    <n v="48.125"/>
  </r>
  <r>
    <n v="22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,Druh: DIMM,Kapacita: 8GB,Generacia: DDR3,Frekv.: 1333MHz,Zaruka: neuvedené"/>
    <n v="39.94"/>
    <n v="5"/>
    <n v="199.7"/>
    <n v="22.082500000000003"/>
    <n v="31.15"/>
    <n v="48.125"/>
  </r>
  <r>
    <n v="22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DIMM,Kapacita: 4GB,Generacia: DDR4,Frekv.: 2400MHz,Zaruka: neuvedené"/>
    <n v="17.61"/>
    <n v="5"/>
    <n v="88.05"/>
    <n v="22.082500000000003"/>
    <n v="31.15"/>
    <n v="48.125"/>
  </r>
  <r>
    <n v="23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DIMM,Kapacita: 8GB,Generacia: DDR4,Frekv.: 2400MHz,Zaruka: neuvedené"/>
    <n v="33.47"/>
    <n v="5"/>
    <n v="167.35"/>
    <n v="22.082500000000003"/>
    <n v="31.15"/>
    <n v="48.125"/>
  </r>
  <r>
    <n v="23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DIMM,Kapacita: 16GB,Generacia: DDR4,Frekv.: 2400MHz,Zaruka: neuvedené"/>
    <n v="73.39"/>
    <n v="5"/>
    <n v="366.95"/>
    <n v="22.082500000000003"/>
    <n v="31.15"/>
    <n v="48.125"/>
  </r>
  <r>
    <n v="23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Crucial CL5,Druh: SODIMM,Kapacita: 2GB,Generacia: DDR2,Frekv.: 667MHz,Zaruka: neuvedené"/>
    <n v="25.62"/>
    <n v="10"/>
    <n v="256.2"/>
    <n v="22.082500000000003"/>
    <n v="31.15"/>
    <n v="48.125"/>
  </r>
  <r>
    <n v="23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SR X8 CL9,Druh: SODIMM,Kapacita: 4GB,Generacia: DDR3,Frekv.: 1333MHz,Zaruka: neuvedené"/>
    <n v="20.53"/>
    <n v="5"/>
    <n v="102.65"/>
    <n v="22.082500000000003"/>
    <n v="31.15"/>
    <n v="48.125"/>
  </r>
  <r>
    <n v="23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11,Druh: SODIMM,Kapacita: 8GB,Generacia: DDR3,Frekv.: 1600MHz,Zaruka: neuvedené"/>
    <n v="33.020000000000003"/>
    <n v="5"/>
    <n v="165.10000000000002"/>
    <n v="22.082500000000003"/>
    <n v="31.15"/>
    <n v="48.125"/>
  </r>
  <r>
    <n v="23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16 CL17,Druh: SODIMM,Kapacita: 4GB,Generacia: DDR4,Frekv.: 2400MHz,Zaruka: neuvedené"/>
    <n v="17.309999999999999"/>
    <n v="5"/>
    <n v="86.55"/>
    <n v="22.082500000000003"/>
    <n v="31.15"/>
    <n v="48.125"/>
  </r>
  <r>
    <n v="23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SODIMM,Kapacita: 8GB,Generacia: DDR4,Frekv.: 2400MHz,Zaruka: neuvedené"/>
    <n v="31.5"/>
    <n v="5"/>
    <n v="157.5"/>
    <n v="22.082500000000003"/>
    <n v="31.15"/>
    <n v="48.125"/>
  </r>
  <r>
    <n v="23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SODIMM,Kapacita: 16GB,Generacia: DDR4,Frekv.: 2400MHz,Zaruka: neuvedené"/>
    <n v="73.39"/>
    <n v="5"/>
    <n v="366.95"/>
    <n v="22.082500000000003"/>
    <n v="31.15"/>
    <n v="48.125"/>
  </r>
  <r>
    <n v="23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T710 2GD3H H2D,Proc.: Passmark 650,RAM: 2GB GDDR3,Frekv. Jadra/RAM: 954/1600 MHz,Zbernica: PCIe x16 2.0,Vystupy: 2xDVI,HDMI,Zaruka: neuvedené"/>
    <n v="48.54"/>
    <n v="5"/>
    <n v="242.7"/>
    <n v="47.47"/>
    <n v="86.69"/>
    <n v="146.42500000000001"/>
  </r>
  <r>
    <n v="23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Quadro P400,Proc.: Passmark 1450,RAM: 2GB GDDR5,Frekv. Jadra/RAM: 1070/1752 MHz,Zbernica: PCIe x16 3.0,Vystupy: 3xminiDP,Zaruka: neuvedené"/>
    <n v="142.85"/>
    <n v="5"/>
    <n v="714.25"/>
    <n v="47.47"/>
    <n v="86.69"/>
    <n v="146.42500000000001"/>
  </r>
  <r>
    <n v="24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eForce RTX2080,Proc.: Passmark 15500,RAM: 8GB GDDR6,Frekv. Jadra/RAM: 1515/8x1750 MHz,Zbernica: PCIe x16 3.0,Vystupy: HDMI, 3xDP, USB-C,Zaruka: neuvedené"/>
    <n v="736.96"/>
    <n v="5"/>
    <n v="3684.8"/>
    <n v="47.47"/>
    <n v="86.69"/>
    <n v="146.42500000000001"/>
  </r>
  <r>
    <n v="241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418play,Technol.: SATA/iSCSI,Radic: RAID0-10,Cache: 4GB RAM,Disky: 4x WD RED NAS 6TB,Porty: 4 SATA,Vyhotovenie: na stôl,2x1Gb LAN,vzdialený prístup,Zaruka: 3 roky"/>
    <n v="1207"/>
    <n v="2"/>
    <n v="2414"/>
    <n v="2032"/>
    <n v="19360"/>
    <n v="87628.37"/>
  </r>
  <r>
    <n v="242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1819+,Technol.: SATA/iSCSI,Radic: RAID0-10,Cache: 4GB RAM,Disky: 8x WD RED NAS 6TB,Porty: 8 SATA,Vyhotovenie: na stôl,4x1Gb LAN,vzdialený prístup, Zaruka: 3 roky"/>
    <n v="2481.66"/>
    <n v="1"/>
    <n v="2481.66"/>
    <n v="2032"/>
    <n v="19360"/>
    <n v="87628.37"/>
  </r>
  <r>
    <n v="243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RS3617xs+,Technol.: SATA/iSCSI,Radic: RAID0-10,Cache: 24GB RAM,Disky: 2x Intel SSD 960GB, 10x WD RED NAS 6TB,Porty: 12 SATA,Vyhotovenie: rackmount,4x1Gb + 2x10Gb LAN,vzdialený prístup,Zaruka: 5"/>
    <n v="6673.33"/>
    <n v="1"/>
    <n v="6673.33"/>
    <n v="2032"/>
    <n v="19360"/>
    <n v="87628.37"/>
  </r>
  <r>
    <n v="244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HP MSA2052,Technol.: iSCSI/FC,Radic: 2xRAID0-10,Cache: 2x8GB,Disky: 24x 1.8TB HDD 10000RPM + 12x 4TB HDD,Porty: 12 SATA,Vyhotovenie: rackmount,4x1Gb + 2x10Gb LAN,vzdialený prístup,Zaruka:5+4HOD"/>
    <n v="36006.06"/>
    <n v="1"/>
    <n v="36006.06"/>
    <n v="2032"/>
    <n v="19360"/>
    <n v="87628.37"/>
  </r>
  <r>
    <n v="245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Microserver,Proc: CPU 4-core,6-gcore 3,2GHz,RAM: 16GB,Disk: HDD 2x 1TB,Radic: RAID1,0,10,Ethernet: 2x 1Gbps,GPU: Zdiel.,Vyhotovenie: neuvedené,OS nezávislý systém manažment,DVD-RW,Zaruka: 5+NBD"/>
    <n v="967.36"/>
    <n v="4"/>
    <n v="3869.44"/>
    <n v="7209.15"/>
    <n v="15534.78"/>
    <n v="29950.799999999999"/>
  </r>
  <r>
    <n v="246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325 gen10, Proc: 8 jadier,Passmark 11300 2,1GHz,RAM: 32GB,Disk: HDD 2x 300GB,Radic: RAID1,0,10, 2GB cache,Ethernet: 4x 1Gbps + 2x 10Gb SFP + 2x16Gb FC,GPU: Zdiel.,Vyhotovenie: 1U,OS nezávislý systém manažment,Zaruka: 5+NBD"/>
    <n v="5925.81"/>
    <n v="3"/>
    <n v="17777.43"/>
    <n v="7209.15"/>
    <n v="15534.78"/>
    <n v="29950.799999999999"/>
  </r>
  <r>
    <n v="247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360 gen10, Proc: 8 jadier,Passmark 10500 1,8GHz,RAM: 128GB,Disk: HDD 2x 300GB,Radic: RAID1,0,10, 2GB cache,Ethernet: 4x 1Gbps + 2x 10Gb SFP + 2x16Gb FC,GPU: Zdiel.,Vyhotovenie: 1U,OS nezávislý systém manažment,Zaruka: 5+NBD"/>
    <n v="8023.53"/>
    <n v="1"/>
    <n v="8023.53"/>
    <n v="7209.15"/>
    <n v="15534.78"/>
    <n v="29950.799999999999"/>
  </r>
  <r>
    <n v="248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 DL580 gen10, Proc: 4x14 jadier, Passmark 2x18100 4x2,2GHz,RAM: 768GB,Disk: SSD 2x 480GB + HDD 14x 1.2TB,Radic: RAID1,0,10, 2GB cache,Ethernet: 4x 1Gbps + 2x 10Gb SPF + 2x16Gb FC,GPU: Zdiel.,Vyhotovenie: 4U,OS nezávislý systém manažment,Zaruka: 5+NBD"/>
    <n v="31360.15"/>
    <n v="1"/>
    <n v="31360.15"/>
    <n v="7209.15"/>
    <n v="15534.78"/>
    <n v="29950.799999999999"/>
  </r>
  <r>
    <n v="24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24T-ON Switch,Porty/rychl.: 24x1Gbps + 4x10Gbps SFP,Uroven: 2,Vyhot.: 1U,VLAN: 512,manažovaný,Zaruka: neuvedené"/>
    <n v="2457.09"/>
    <n v="10"/>
    <n v="24570.9"/>
    <n v="1759.125"/>
    <n v="3923.7249999999999"/>
    <n v="12062.504999999999"/>
  </r>
  <r>
    <n v="25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48T-ON Switch,Porty/rychl.: 48x1Gbps + 4x10Gbps SFP,Uroven: 2,Vyhot.: 1U,VLAN: 512,manažovaný,Zaruka: neuvedené"/>
    <n v="2612.34"/>
    <n v="10"/>
    <n v="26123.4"/>
    <n v="1759.125"/>
    <n v="3923.7249999999999"/>
    <n v="12062.504999999999"/>
  </r>
  <r>
    <n v="25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24ET-ON Switch,Porty/rychl.: 24x1Gbps + 2xCombo RJ45/SFP + 4x10Gbps SFP,Uroven: 2/3,Vyhot.: 1U,VLAN: 4000,iSCSI,manažovaný,Zaruka: neuvedené"/>
    <n v="4302.82"/>
    <n v="3"/>
    <n v="12908.46"/>
    <n v="1759.125"/>
    <n v="3923.7249999999999"/>
    <n v="12062.504999999999"/>
  </r>
  <r>
    <n v="25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48ET-ON Switch,Porty/rychl.: 48x1Gbps + 2xCombo RJ45/SFP + 4x10Gbps SFP,Uroven: 2/3,Vyhot.: 1U,VLAN: 4000,iSCSI,manažovaný,Zaruka: neuvedené"/>
    <n v="4983.5600000000004"/>
    <n v="3"/>
    <n v="14950.68"/>
    <n v="1759.125"/>
    <n v="3923.7249999999999"/>
    <n v="12062.504999999999"/>
  </r>
  <r>
    <n v="25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32F,Porty/rychl.: 12x10Gb SFP+ 2xQSFP + 10x LR4 40Gbe,Uroven: 2/3,Vyhot.: 1U,VLAN: 4000,iSCSI,nemanažovaný,Zaruka: neuvedené"/>
    <n v="20461.759999999998"/>
    <n v="2"/>
    <n v="40923.519999999997"/>
    <n v="1759.125"/>
    <n v="3923.7249999999999"/>
    <n v="12062.504999999999"/>
  </r>
  <r>
    <n v="25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64F,Porty/rychl.: 12x10Gb SFP+ 4xQSFP + 32x LR4 40Gbe,Uroven: 2/3,Vyhot.: 1U,VLAN: 4000,iSCSI,nemanažovaný,Zaruka: neuvedené"/>
    <n v="30207.83"/>
    <n v="1"/>
    <n v="30207.83"/>
    <n v="1759.125"/>
    <n v="3923.7249999999999"/>
    <n v="12062.504999999999"/>
  </r>
  <r>
    <n v="25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 PRO,Urcenie: exteriér,LAN: 2x1Gbps,Pasma: 2,4+5GHz,Rychl.: 450Mbps + 1300MBps,Normy: 802.11ac-af + PoE + MIMO 3x3,Roaming: áno,Max. SSID: 8,Zaruka: neuvedené"/>
    <n v="170.73"/>
    <n v="10"/>
    <n v="1707.3"/>
    <n v="88.21"/>
    <n v="134.57"/>
    <n v="252.7"/>
  </r>
  <r>
    <n v="25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,Urcenie: exteriér,LAN: 2x1Gbps,Pasma: 2,4+5GHz,Rychl.: 450Mbps + 1300MBps,Normy: 802.11ac-af + PoE + MIMO 3x3,Roaming: áno,Max. SSID: 8,Zaruka: neuvedené"/>
    <n v="88.41"/>
    <n v="6"/>
    <n v="530.46"/>
    <n v="88.21"/>
    <n v="134.57"/>
    <n v="252.7"/>
  </r>
  <r>
    <n v="25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R,Urcenie: interiér,LAN: 1x1Gbps,Pasma: 2,4+5GHz,Rychl.: 450Mbps + 867MBps,Normy: 802.11ac + PoE + MIMO 3x3/2x2,Roaming: áno,Max. SSID: 8,Zaruka: neuvedené"/>
    <n v="97.56"/>
    <n v="6"/>
    <n v="585.36"/>
    <n v="88.21"/>
    <n v="134.57"/>
    <n v="252.7"/>
  </r>
  <r>
    <n v="25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PRO,Urcenie: interiér,LAN: 1x1Gbps,Pasma: 2,4+5GHz,Rychl.: 450Mbps + 1300MBps,Normy: 802.11ac + PoE + MIMO 3x3/2x2,Roaming: áno,Max. SSID: 8,Zaruka: neuvedené"/>
    <n v="134.57"/>
    <n v="10"/>
    <n v="1345.6999999999998"/>
    <n v="88.21"/>
    <n v="134.57"/>
    <n v="252.7"/>
  </r>
  <r>
    <n v="25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ITE,Urcenie: interiér,LAN: 1x1Gbps,Pasma: 2,4+5GHz,Rychl.: 300Mbps + 867MBps,Normy: 802.11ac + PoE + MIMO 3x3/2x2,Roaming: áno,Max. SSID: 8,Zaruka: neuvedené"/>
    <n v="78.05"/>
    <n v="4"/>
    <n v="312.2"/>
    <n v="88.21"/>
    <n v="134.57"/>
    <n v="252.7"/>
  </r>
  <r>
    <n v="26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500i UPS 500VA,Spinanie: Line-ineractive,Vykon: 300W,Vyhot.: Microtower,Zaruka: neuvedené"/>
    <n v="49.28"/>
    <n v="1"/>
    <n v="49.28"/>
    <n v="59.227499999999999"/>
    <n v="332.14"/>
    <n v="1331.8050000000001"/>
  </r>
  <r>
    <n v="26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650i UPS 650VA,Spinanie: Line-ineractive,Vykon: 360W,Vyhot.: Microtower,USB,Zaruka: neuvedené"/>
    <n v="54.55"/>
    <n v="1"/>
    <n v="54.55"/>
    <n v="59.227499999999999"/>
    <n v="332.14"/>
    <n v="1331.8050000000001"/>
  </r>
  <r>
    <n v="26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1500i UPS 1500VA,Spinanie: Line-ineractive,Vykon: 900W,Vyhot.: Microtower,USB,Zaruka: neuvedené"/>
    <n v="135.09"/>
    <n v="1"/>
    <n v="135.09"/>
    <n v="59.227499999999999"/>
    <n v="332.14"/>
    <n v="1331.8050000000001"/>
  </r>
  <r>
    <n v="26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850i Rack1U UPS 850VA,Spinanie: Line-ineractive,Vykon: 600W,Vyhot.: 1U,USB,RS232,Zaruka: neuvedené"/>
    <n v="442.04"/>
    <n v="1"/>
    <n v="442.04"/>
    <n v="59.227499999999999"/>
    <n v="332.14"/>
    <n v="1331.8050000000001"/>
  </r>
  <r>
    <n v="26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1500i RT2U UPS 1500VA,Spinanie: Online,Vykon: 1500W,Vyhot.: 2U,LAN,USB,RS232,Zaruka: neuvedené"/>
    <n v="1166.3399999999999"/>
    <n v="1"/>
    <n v="1166.3399999999999"/>
    <n v="59.227499999999999"/>
    <n v="332.14"/>
    <n v="1331.8050000000001"/>
  </r>
  <r>
    <n v="26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3000i RT2U Netpack UPS 3000VA,Spinanie: Online,Vykon: 3000W,Vyhot.: 2U,LAN,USB,RS232,Zaruka: neuvedené"/>
    <n v="2077.3200000000002"/>
    <n v="1"/>
    <n v="2077.3200000000002"/>
    <n v="59.227499999999999"/>
    <n v="332.14"/>
    <n v="1331.8050000000001"/>
  </r>
  <r>
    <n v="26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30 G6,Proc.: 4-jadro passmark 7600,RAM: 8GB,Disk: SSD NVMe 256GB,VGA: zdiel.,Disp: FHD,OS: Win10Pro, podsv. klávesnica,TPM,bez dokovacej stanice,Zaruka: 3"/>
    <n v="751.28"/>
    <n v="30"/>
    <n v="22538.399999999998"/>
    <n v="783.15"/>
    <n v="1196.3"/>
    <n v="1455.5"/>
  </r>
  <r>
    <n v="26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30 G5,Proc.: 4-jadro passmark 8200,RAM: 8GB,Disk: SSD NVMe 512GB,VGA: zdiel.,Disp: FHD,OS: Win10Pro,WWAN, podsv. klávesnica,TPM,bez dokovacej stanice,Zaruka: 3"/>
    <n v="1325.53"/>
    <n v="15"/>
    <n v="19882.95"/>
    <n v="783.15"/>
    <n v="1196.3"/>
    <n v="1455.5"/>
  </r>
  <r>
    <n v="26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5,Proc.: 2-jadro passmark 5000,RAM: 8GB,Disk: SSD NVMe 256GB,VGA: zdiel.,Disp: FHD,OS: Win10Pro,podsv. klávesnica,TPM,bez dokovacej stanice,Zaruka: 3"/>
    <n v="696.15"/>
    <n v="30"/>
    <n v="20884.5"/>
    <n v="783.15"/>
    <n v="1196.3"/>
    <n v="1455.5"/>
  </r>
  <r>
    <n v="26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x360 440 G1,Proc.: 4-jadro passmark 7600,RAM: 8GB,Disk: SSD NVMe 256GB,VGA: zdiel.,Disp: FHD,OS: Win10Pro,podsv. klávesnica,TPM,bez dokovacej stanice,Zaruka: 3"/>
    <n v="779.81"/>
    <n v="18"/>
    <n v="14036.579999999998"/>
    <n v="783.15"/>
    <n v="1196.3"/>
    <n v="1455.5"/>
  </r>
  <r>
    <n v="27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EliteBook 840 G5,Proc.: 4-jadro passmark 8200,RAM: 16GB,Disk: SSD NVMe 512GB,VGA: zdiel.,Disp: FHD,OS: Win10Pro,WWAN, podsv. klávesnica,TPM,bez dokovacej stanice,Zaruka: 3"/>
    <n v="1240.05"/>
    <n v="10"/>
    <n v="12400.5"/>
    <n v="783.15"/>
    <n v="1196.3"/>
    <n v="1455.5"/>
  </r>
  <r>
    <n v="27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2-jadro passmark 5300,RAM: 8GB,Disk: SSD NVMe 256GB,VGA: zdiel.,Disp: FHD,OS: Win10Pro,podsv. klávesnica,TPM,bez dokovacej stanice,Zaruka: 3"/>
    <n v="681.37"/>
    <n v="25"/>
    <n v="17034.25"/>
    <n v="783.15"/>
    <n v="1196.3"/>
    <n v="1455.5"/>
  </r>
  <r>
    <n v="27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7900,RAM: 8GB,Disk: SSD NVMe 256GB,VGA: zdiel.,Disp: FHD,OS: Win10Pro,podsv. klávesnica,TPM,bez dokovacej stanice,Zaruka: 3"/>
    <n v="763.52"/>
    <n v="10"/>
    <n v="7635.2"/>
    <n v="783.15"/>
    <n v="1196.3"/>
    <n v="1455.5"/>
  </r>
  <r>
    <n v="27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HP ProBook 450 G6,Proc.: 4-jadro passmark 8900,RAM: 8GB,Disk: SSD NVMe 256GB,VGA: zdiel.,Disp: FHD,OS: Win10Pro,podsv. klávesnica,TPM,bez dokovacej stanice,Zaruka: 3"/>
    <n v="834.53"/>
    <n v="10"/>
    <n v="8345.2999999999993"/>
    <n v="783.15"/>
    <n v="1196.3"/>
    <n v="1455.5"/>
  </r>
  <r>
    <n v="27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Air 13&quot;,Proc.: 2-jadro passmark 4000,RAM: 8GB,Disk: SSD PCIe 256GB,VGA: zdiel.,Disp: 2560x1600,OS:macOS Mojave,podsv. klávesnica,bez dokovacej stanice,Zaruka: neuvedené"/>
    <n v="1337.11"/>
    <n v="3"/>
    <n v="4011.33"/>
    <n v="783.15"/>
    <n v="1196.3"/>
    <n v="1455.5"/>
  </r>
  <r>
    <n v="27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3&quot;,Proc.: 4-jadro passmark 10900,RAM: 8GB,Disk: SSD PCIe 256GB,VGA: zdiel.,Disp: 2560x1600,OS:macOS Mojave,podsv. klávesnica,bez dokovacej stanice,Zaruka: neuvedené"/>
    <n v="1735.49"/>
    <n v="3"/>
    <n v="5206.47"/>
    <n v="783.15"/>
    <n v="1196.3"/>
    <n v="1455.5"/>
  </r>
  <r>
    <n v="27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"/>
    <s v="Typ: Apple MacBook Pro 15&quot;,Proc.: 6-jadro passmark 12400,RAM: 16GB,Disk: SSD 256GB,VGA: nezdiel. 3GD 3100,Disp: 2880x1800,OS:macOS Mojave,podsv. klávesnica,bez dokovacej stanice,Zaruka: neuvedené"/>
    <n v="2075.77"/>
    <n v="3"/>
    <n v="6227.3099999999995"/>
    <n v="783.15"/>
    <n v="1196.3"/>
    <n v="1455.5"/>
  </r>
  <r>
    <n v="27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Samsung Galaxy Tab A 10.5,Proc.: 8-jadro 1.8GHz,RAM: 3GB,Disk: CF 32GB,Disp.: 1920x1200,OS: Android,Fotoaparat 2x,bluetooth,wifi,gps,4g/lte,Zaruka: 3"/>
    <n v="334.25"/>
    <n v="10"/>
    <n v="3342.5"/>
    <n v="307.64999999999998"/>
    <n v="533.63"/>
    <n v="761.32"/>
  </r>
  <r>
    <n v="27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64GB,Proc.: 64-bit,RAM: neuvedené,Disk: CF 64GB,Disp.: retina,OS: iOS12,wifi,Zaruka: neuvedené"/>
    <n v="533.63"/>
    <n v="5"/>
    <n v="2668.15"/>
    <n v="307.64999999999998"/>
    <n v="533.63"/>
    <n v="761.32"/>
  </r>
  <r>
    <n v="27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128GB,Proc.: 64-bit,RAM: neuvedené,Disk: CF 128GB,Disp.: retina,OS: iOS11,wifi,Zaruka: neuvedené"/>
    <n v="502.71"/>
    <n v="5"/>
    <n v="2513.5499999999997"/>
    <n v="307.64999999999998"/>
    <n v="533.63"/>
    <n v="761.32"/>
  </r>
  <r>
    <n v="28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2"/>
    <s v="Typ: Apple iPad mini wifi+cellular 256GB,Proc.: 64-bit,RAM: neuvedené,Disk: CF 256GB,Disp.: retina,OS: iOS12,wifi,Zaruka: neuvedené"/>
    <n v="761.32"/>
    <n v="5"/>
    <n v="3806.6000000000004"/>
    <n v="307.64999999999998"/>
    <n v="533.63"/>
    <n v="761.32"/>
  </r>
  <r>
    <n v="281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4-jadro passmark 8000,RAM: 8GB,Disk: SSD NVMe 256GB,VGA: zdiel,OS: Win10Pro,klávesnica,myš,DVD,Zaruka: neuvedené"/>
    <n v="573.16"/>
    <n v="30"/>
    <n v="17194.8"/>
    <n v="680"/>
    <n v="991"/>
    <n v="1485.8333333333335"/>
  </r>
  <r>
    <n v="282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1900,RAM: 8GB,Disk: SSD NVMe 256GB,VGA: zdiel,OS: Win10Pro,klávesnica,myš,DVD,Zaruka: neuvedené"/>
    <n v="638.66"/>
    <n v="50"/>
    <n v="31933"/>
    <n v="680"/>
    <n v="991"/>
    <n v="1485.8333333333335"/>
  </r>
  <r>
    <n v="283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Desk 400 G5 MT,Proc: 6-jadro passmark 15100,RAM: 8GB,Disk: SSD NVMe 256GB,VGA: zdiel,OS: Win10Pro,klávesnica,myš,DVD,Zaruka: neuvedené"/>
    <n v="736.35"/>
    <n v="30"/>
    <n v="22090.5"/>
    <n v="680"/>
    <n v="991"/>
    <n v="1485.8333333333335"/>
  </r>
  <r>
    <n v="284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1900,RAM: 8GB,Disk: SSD NVMe 256GB,VGA: nezdiel. 3GD 8450,OS: Win10Pro,klávesnica,myš,DVD,Zaruka: neuvedené"/>
    <n v="990.64"/>
    <n v="20"/>
    <n v="19812.8"/>
    <n v="680"/>
    <n v="991"/>
    <n v="1485.8333333333335"/>
  </r>
  <r>
    <n v="285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256GB,VGA: nezdiel. 3GD 3640,OS: Win10Pro,klávesnica,myš,DVD,Zaruka: neuvedené"/>
    <n v="981.75"/>
    <n v="20"/>
    <n v="19635"/>
    <n v="680"/>
    <n v="991"/>
    <n v="1485.8333333333335"/>
  </r>
  <r>
    <n v="286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Desk 800 G4 TWR,Proc: 6-jadro passmark 15100,RAM: 16GB,Disk: SSD NVMe 512GB,VGA: nezdiel. 3GD 8900,OS: Win10Pro,klávesnica,myš,DVD,Zaruka: neuvedené"/>
    <n v="1298.1600000000001"/>
    <n v="20"/>
    <n v="25963.200000000001"/>
    <n v="680"/>
    <n v="991"/>
    <n v="1485.8333333333335"/>
  </r>
  <r>
    <n v="287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00 G4 AiO 20NT,Proc: 4-jadro passmark 7300,RAM: 8GB,Disk: SSD NVMe 256GB,VGA: zdiel.,OS: Win10Pro,klávesnica,myš,DVD,Zaruka: neuvedené"/>
    <n v="628.66"/>
    <n v="20"/>
    <n v="12573.199999999999"/>
    <n v="680"/>
    <n v="991"/>
    <n v="1485.8333333333335"/>
  </r>
  <r>
    <n v="288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ProOne 440 G4 AiO 23.8NT,Proc: 6-jadro passmark 9900,RAM: 8GB,Disk: SSD NVMe 256GB,VGA: zdiel.,OS: Win10Pro,klávesnica,myš,DVD,Zaruka: neuvedené"/>
    <n v="744.13"/>
    <n v="10"/>
    <n v="7441.3"/>
    <n v="680"/>
    <n v="991"/>
    <n v="1485.8333333333335"/>
  </r>
  <r>
    <n v="289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1900,RAM: 8GB,Disk: SSD NVMe 256GB,VGA: zdiel,OS: Win10Pro,klávesnica,myš,Zaruka: neuvedené"/>
    <n v="1298.17"/>
    <n v="10"/>
    <n v="12981.7"/>
    <n v="680"/>
    <n v="991"/>
    <n v="1485.8333333333335"/>
  </r>
  <r>
    <n v="290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EliteOne 1000 G2 AiO 27NT,Proc: 6-jadro passmark 15100,RAM: 16GB,Disk: SSD NVMe 512GB,VGA: zdiel,OS: Win10Pro,klávesnica,myš,Zaruka: neuvedené"/>
    <n v="1524.62"/>
    <n v="10"/>
    <n v="15246.199999999999"/>
    <n v="680"/>
    <n v="991"/>
    <n v="1485.8333333333335"/>
  </r>
  <r>
    <n v="291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6-jadro passmark 15100,RAM: 16GB,Disk: HDD 1TB,VGA: zdiel,OS: Win10Pro,klávesnica,myš,DVD,Zaruka: 3"/>
    <n v="937.35"/>
    <n v="6"/>
    <n v="5624.1"/>
    <n v="680"/>
    <n v="991"/>
    <n v="1485.8333333333335"/>
  </r>
  <r>
    <n v="292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4-jadro passmark 12300,RAM: 16GB,Disk: SSD NVMe 256GB,VGA: zdiel,OS: Win10Pro,klávesnica,myš,DVD,Zaruka: 3"/>
    <n v="1559.04"/>
    <n v="4"/>
    <n v="6236.16"/>
    <n v="680"/>
    <n v="991"/>
    <n v="1485.8333333333335"/>
  </r>
  <r>
    <n v="293"/>
    <s v="Rámcová dohoda na dodávku hardvéru informačných a komunikačných technológií pre Technickú univerzitu vo Zvolene"/>
    <n v="4185749"/>
    <s v="https://crz.gov.sk/4185749"/>
    <s v="https://www.crz.gov.sk/data/att/4185755_dokument1.pdf"/>
    <x v="0"/>
    <s v="Typ: HP Z2 G4,Proc: 10-jadro passmark 21800,RAM: 16GB,Disk: SSD NVMe 512GB,VGA: zdiel,OS: Win10Pro,klávesnica,myš,DVD,Zaruka: 3"/>
    <n v="2202.9299999999998"/>
    <n v="3"/>
    <n v="6608.7899999999991"/>
    <n v="680"/>
    <n v="991"/>
    <n v="1485.8333333333335"/>
  </r>
  <r>
    <n v="294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23V5LHSB2/00,Rozlisenie: 1920x1080,Frekv: 60 Hz,Velkost: 21,5&quot;,Kontrast: 600:1,Vstupy: VGA,HDMI,matný,Zaruka: neuvedené"/>
    <n v="63.52"/>
    <n v="50"/>
    <n v="3176"/>
    <n v="141.67500000000001"/>
    <n v="194"/>
    <n v="266.75"/>
  </r>
  <r>
    <n v="295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3V5LSB5/00,Rozlisenie: 1920x1080,Frekv: 60 Hz,Velkost: 23,6&quot;,Kontrast: 1000:1,Vstupy: VGA,DVI,matný,Zaruka: neuvedené"/>
    <n v="89.71"/>
    <n v="100"/>
    <n v="8971"/>
    <n v="141.67500000000001"/>
    <n v="194"/>
    <n v="266.75"/>
  </r>
  <r>
    <n v="296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41S4LCB/00,Rozlisenie: 1920x1080,Frekv: 60 Hz,Velkost: 24&quot;,Kontrast: 1000:1,Vstupy: VGA,DVI,matný, nastaviteľný,Zaruka: neuvedené"/>
    <n v="123"/>
    <n v="50"/>
    <n v="6150"/>
    <n v="141.67500000000001"/>
    <n v="194"/>
    <n v="266.75"/>
  </r>
  <r>
    <n v="297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1B8QJEB/00,Rozlisenie: 1920x1080,Frekv: 60 Hz,Velkost: 27&quot;,Kontrast: 1000:1,Vstupy: VGA,DVI,DP,HDMI,matný, nastaviteľný,Zaruka: neuvedené"/>
    <n v="166.02"/>
    <n v="30"/>
    <n v="4980.6000000000004"/>
    <n v="141.67500000000001"/>
    <n v="194"/>
    <n v="266.75"/>
  </r>
  <r>
    <n v="298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272P7VPTKEB/00,Rozlisenie: 3840x2160,Frekv: 60 Hz,Velkost: 27&quot;,Kontrast: 1300:1,Vstupy: VGA,DVI,miniDP,DP,HDMI,matný, nastaviteľný,Zaruka: neuvedené"/>
    <n v="289.02"/>
    <n v="10"/>
    <n v="2890.2"/>
    <n v="141.67500000000001"/>
    <n v="194"/>
    <n v="266.75"/>
  </r>
  <r>
    <n v="299"/>
    <s v="Rámcová dohoda na dodávku hardvéru informačných a komunikačných technológií pre Technickú univerzitu vo Zvolene"/>
    <n v="4185749"/>
    <s v="https://crz.gov.sk/4185749"/>
    <s v="https://www.crz.gov.sk/data/att/4185755_dokument1.pdf"/>
    <x v="2"/>
    <s v="Typ: Philips 328P6VUBREB/00,Rozlisenie: 3840x2160,Frekv: 60 Hz,Velkost: 31,5&quot;,Kontrast: 3000:1,Vstupy: DP,HDMI,matný, nastaviteľný,Zaruka: neuvedené"/>
    <n v="454.16"/>
    <n v="10"/>
    <n v="4541.6000000000004"/>
    <n v="141.67500000000001"/>
    <n v="194"/>
    <n v="266.75"/>
  </r>
  <r>
    <n v="300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102a,Technologia: laser,Farba: nie,Formaty: A4,Rozhrania: USB,RAM: 128MB, Pam. Karta: nie,Zasobnik: 250,Rozlisenie: 600dpi,Duplex: nie,Zaruka: neuvedené"/>
    <n v="74.599999999999994"/>
    <n v="10"/>
    <n v="746"/>
    <n v="229.78"/>
    <n v="424.2"/>
    <n v="1030.3"/>
  </r>
  <r>
    <n v="301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4132dn,Technologia: led,Farba: nie,Formaty: A4,Rozhrania: USB, ethernet,RAM: 512MB,Pam. karta: 3GB,Zasobnik: 350,Rozlisenie: 1200dpi,Duplex: áno,Zaruka: neuvedené"/>
    <n v="229.78"/>
    <n v="10"/>
    <n v="2297.8000000000002"/>
    <n v="229.78"/>
    <n v="424.2"/>
    <n v="1030.3"/>
  </r>
  <r>
    <n v="302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LaserJet Pro M203dn,Technologia: laser,Farba: nie,Formaty: A4,Rozhrania: USB, ethernet, airprint,RAM: 256MB,Pam. karta: nie,Zasobnik: 260,Rozlisenie: 1200dpi,Duplex: áno,Zaruka: neuvedené"/>
    <n v="138.54"/>
    <n v="10"/>
    <n v="1385.3999999999999"/>
    <n v="229.78"/>
    <n v="424.2"/>
    <n v="1030.3"/>
  </r>
  <r>
    <n v="303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7131dnw,Technologia: led,Farba: nie,Formaty: A4,Rozhrania: USB, ethernet, wifi, airprint,RAM: 256MB,Pam. karta: nie,Zasobnik: 630,Rozlisenie: 1200dpi,Duplex: áno,Zaruka: neuvedené"/>
    <n v="624.16999999999996"/>
    <n v="2"/>
    <n v="1248.3399999999999"/>
    <n v="229.78"/>
    <n v="424.2"/>
    <n v="1030.3"/>
  </r>
  <r>
    <n v="304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HP Color LaserJet Pro M454dn,Technologia: laser,Farba: áno,Formaty: A4,Rozhrania: USB, ethernet, airprint, Airprint,RAM: 128MB,Pam. karta: 256MB,Zasobnik: 850,Rozlisenie: 600dpi,duplex: áno,Zaruka: neuvedené"/>
    <n v="285.97000000000003"/>
    <n v="10"/>
    <n v="2859.7000000000003"/>
    <n v="229.78"/>
    <n v="424.2"/>
    <n v="1030.3"/>
  </r>
  <r>
    <n v="305"/>
    <s v="Rámcová dohoda na dodávku hardvéru informačných a komunikačných technológií pre Technickú univerzitu vo Zvolene"/>
    <n v="4185749"/>
    <s v="https://crz.gov.sk/4185749"/>
    <s v="https://www.crz.gov.sk/data/att/4185755_dokument1.pdf"/>
    <x v="3"/>
    <s v="Typ: OKI ES5432dn,Technologia: led,Farba: áno,Formaty: A4,Rozhrania: USB, ethernet, wifi, airprint,RAM: 1GB,Pam. karta: 3GB,Zasobnik: 350,Rozlisenie: 1200dpi,Duplex: áno,Zaruka: 3"/>
    <n v="541.30999999999995"/>
    <n v="6"/>
    <n v="3247.8599999999997"/>
    <n v="229.78"/>
    <n v="424.2"/>
    <n v="1030.3"/>
  </r>
  <r>
    <n v="306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4192dn MFP,Technologia: led,Farba: nie,Formaty: A4,Rozhrania: USB, ethernet, airprint,RAM: 1GB,Pam. karta: 3GB,Zasobnik: 850,R. tlace: 1200dpi,R. kopirky: 600dpi,R. skenera: 600dpi,Duplex: áno,Zaruka: neuvedené"/>
    <n v="431.95"/>
    <n v="10"/>
    <n v="4319.5"/>
    <n v="393.94499999999999"/>
    <n v="710.01499999999999"/>
    <n v="2552.0574999999999"/>
  </r>
  <r>
    <n v="307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130a,Technologia: laser,Farba: nie,Formaty: A4,Rozhrania: USB,RAM: 128MB,Pam. karta: nie,Zasobnik: 150,R. tlace: 600dpi,R. kopirky: 600dpi,R. skenera: 600/1200dpi,Duplex: nie,Zaruka: neuvedené"/>
    <n v="90.87"/>
    <n v="5"/>
    <n v="454.35"/>
    <n v="393.94499999999999"/>
    <n v="710.01499999999999"/>
    <n v="2552.0574999999999"/>
  </r>
  <r>
    <n v="308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LaserJet Pro M227sdn,Technologia: laser,Farba: nie,Formaty: A4,Rozhrania: USB, ethernet, airprint,RAM: 256MB,Pam. karta: nie,Zasobnik: 260,R. tlace: 1200dpi,R. kopirky: 600dpi,R. skenera: 600/1200dpi,Duplex: áno,Zaruka: neuvedené"/>
    <n v="207.1"/>
    <n v="5"/>
    <n v="1035.5"/>
    <n v="393.94499999999999"/>
    <n v="710.01499999999999"/>
    <n v="2552.0574999999999"/>
  </r>
  <r>
    <n v="309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,Technologia: led,Farba: áno,Formaty: A4,Rozhrania: USB, ethernet, wifi, airprint,RAM: 1GB,Pam. karta: 3GB,Zasobnik: 1350,R. tlace: 1200dpi,R. kopirky: 600dpi,R. skenera: 600dpi,Duplex: áno,Zaruka: neuvedené"/>
    <n v="679.4"/>
    <n v="3"/>
    <n v="2038.1999999999998"/>
    <n v="393.94499999999999"/>
    <n v="710.01499999999999"/>
    <n v="2552.0574999999999"/>
  </r>
  <r>
    <n v="310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Color LaserJet Pro MFP M377dw,Technologia: laser,Farba: áno,Formaty: A4,Rozhrania: USB, ethernet, wifi, airprint,RAM: 256MB,Pam. karta: 256MB,Zasobnik: 850,R. tlace: 600dpi,R. kopirky: 1200dpi,R. skenera: 1200dpi,Duplex: áno,Zaruka: neuvedené"/>
    <n v="378.78"/>
    <n v="6"/>
    <n v="2272.6799999999998"/>
    <n v="393.94499999999999"/>
    <n v="710.01499999999999"/>
    <n v="2552.0574999999999"/>
  </r>
  <r>
    <n v="311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HP PageWide Pro MFP 477dw,Technologia: laser,Farba: áno,Formaty: A4,Rozhrania: USB, ethernet, wifi, airprint,RAM: 768MB,Pam. karta: nie,Zasobnik: neuvedené,R. tlace: 600dpi,R. kopirky: 1200dpi,R. skenera: 1200dpi,Duplex: áno,Zaruka: neuvedené"/>
    <n v="627.29"/>
    <n v="4"/>
    <n v="2509.16"/>
    <n v="393.94499999999999"/>
    <n v="710.01499999999999"/>
    <n v="2552.0574999999999"/>
  </r>
  <r>
    <n v="312"/>
    <s v="Rámcová dohoda na dodávku hardvéru informačných a komunikačných technológií pre Technickú univerzitu vo Zvolene"/>
    <n v="4185749"/>
    <s v="https://crz.gov.sk/4185749"/>
    <s v="https://www.crz.gov.sk/data/att/4185755_dokument1.pdf"/>
    <x v="4"/>
    <s v="Typ: OKI ES5473dnv,Technologia: led,Farba: áno,Formaty: A3,Rozhrania: USB, ethernet, wifi, airprint,RAM: 1,26GB,Pam. karta: HDD 250GB,Zasobnik: 1900,R. tlace: 1200x600dpi,R. kopirky: 600dpi,R. skenera: 600dpi,Duplex: áno,Zaruka: 3"/>
    <n v="2375.15"/>
    <n v="2"/>
    <n v="4750.3"/>
    <n v="393.94499999999999"/>
    <n v="710.01499999999999"/>
    <n v="2552.0574999999999"/>
  </r>
  <r>
    <n v="313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19, Format: A4, Rozlisenie: 4800dpi, Zasobnik: nie,Zaruka: neuvedené"/>
    <n v="83.32"/>
    <n v="5"/>
    <n v="416.59999999999997"/>
    <n v="112.19999999999999"/>
    <n v="252"/>
    <n v="2310"/>
  </r>
  <r>
    <n v="314"/>
    <s v="Rámcová dohoda na dodávku hardvéru informačných a komunikačných technológií pre Technickú univerzitu vo Zvolene"/>
    <n v="4185749"/>
    <s v="https://crz.gov.sk/4185749"/>
    <s v="https://www.crz.gov.sk/data/att/4185755_dokument1.pdf"/>
    <x v="6"/>
    <s v="Typ: EPSON Perfection V370 Photo, Format: A4, Rozlisenie: 4800dpi, Zasobnik: nie,Zaruka: neuvedené"/>
    <n v="159.74"/>
    <n v="5"/>
    <n v="798.7"/>
    <n v="112.19999999999999"/>
    <n v="252"/>
    <n v="2310"/>
  </r>
  <r>
    <n v="31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20, 24&quot;,Technologia: termálna atramentová,Farba: áno,Formaty: A1,Rozhrania: USB, ethernet, wifi,RAM: 1000MB,Pam. karta: nie,Zasobnik: automatická rezačka,Rozlisenie: 2400x1200dpi,Zaruka: neuvedené"/>
    <n v="1332.48"/>
    <n v="2"/>
    <n v="2664.96"/>
    <n v="1383.98"/>
    <n v="1866.7"/>
    <n v="4574.5833333333339"/>
  </r>
  <r>
    <n v="31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3"/>
    <s v="Typ: HP Designjet T520, 36&quot;,Technologia: termálna atramentová,Farba: áno,Formaty: A0,Rozhrania: USB, ethernet, wifi,RAM: 1000MB,Pam. karta: nie,Zasobnik: automatická rezačka,Rozlisenie: 2400x1200dpi,Zaruka: neuvedené"/>
    <n v="1809.42"/>
    <n v="1"/>
    <n v="1809.42"/>
    <n v="1383.98"/>
    <n v="1866.7"/>
    <n v="4574.5833333333339"/>
  </r>
  <r>
    <n v="317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U42,Technol.: 3LCD,Svetlost: 3600lm,Zdroj svetla: žiarovka 6000h,Rozlisenie: 1920x1200,Kontrast: 15000:1,Rozhrania: Miracast, CINCH, MHL, Kompozit, USB, HDMI, VGA, WIFI,Zaruka: 5"/>
    <n v="595.99"/>
    <n v="10"/>
    <n v="5959.9"/>
    <n v="709.95"/>
    <n v="1000"/>
    <n v="5171.4583333333339"/>
  </r>
  <r>
    <n v="318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990U,Technol.: 3LCD,Svetlost: 3800lm,Zdroj svetla: žiarovka 6000h,Rozlisenie: 1920x1200,Kontrast: 15000:1,Rozhrania: Miracast, JACK, RS232, Mikrofón, MHL, Kompozit, USB, HDMI, VGA, WIFI,Zaruka: 5"/>
    <n v="736.28"/>
    <n v="2"/>
    <n v="1472.56"/>
    <n v="709.95"/>
    <n v="1000"/>
    <n v="5171.4583333333339"/>
  </r>
  <r>
    <n v="319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700U,Technol.: 3LCD,Svetlost: 4000lm,Zdroj svetla: laser 20000h,Rozlisenie: 1920x1200,Kontrast: 2500000:1,Rozhrania: Miracast, JACK, RS232, Mikrofón, MHL, Kompozit, USB, HDMI, VGA, WIFI,Zaruka: 5"/>
    <n v="2861.76"/>
    <n v="2"/>
    <n v="5723.52"/>
    <n v="709.95"/>
    <n v="1000"/>
    <n v="5171.4583333333339"/>
  </r>
  <r>
    <n v="320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2265U,Technol.: 3LCD,Svetlost: 5500lm,Zdroj svetla: žiarovka 5000h,Rozlisenie: 1920x1200,Kontrast: 15000:1,Rozhrania: Miracast, JACK, RS232, Mikrofón, MHL, Kompozit, USB, HDMI, VGA, LAN, WIFI,Zaruka: 5"/>
    <n v="1805.65"/>
    <n v="2"/>
    <n v="3611.3"/>
    <n v="709.95"/>
    <n v="1000"/>
    <n v="5171.4583333333339"/>
  </r>
  <r>
    <n v="321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300U,Technol.: 3LCD,Svetlost: 8000lm,Zdroj svetla: laser 20000h,Rozlisenie: 1920x1200+emul.4K,Kontrast: 2500000:1,Rozhrania: BNC, Miracast, JACK, RS232, Mikrofón, USB, DVI, HDMI, VGA, LAN, WIFI,Zaruka: 5"/>
    <n v="9998.25"/>
    <n v="2"/>
    <n v="19996.5"/>
    <n v="709.95"/>
    <n v="1000"/>
    <n v="5171.4583333333339"/>
  </r>
  <r>
    <n v="322"/>
    <s v="Rámcová dohoda na dodávku hardvéru informačných a komunikačných technológií pre Technickú univerzitu vo Zvolene"/>
    <n v="4185749"/>
    <s v="https://crz.gov.sk/4185749"/>
    <s v="https://www.crz.gov.sk/data/att/4185755_dokument1.pdf"/>
    <x v="7"/>
    <s v="Typ: EPSON EB-L1755U,Technol.: 3LCD,Svetlost: 15000lm,Zdroj svetla: laser 20000h,Rozlisenie: 1920x1200+emul.4K,Kontrast: 2500000:1,Rozhrania: BNC, Miracast, JACK, RS232, Mikrofón, USB, DVI, HDMI, VGA, LAN, WIFI,Zaruka: 5"/>
    <n v="22094.39"/>
    <n v="1"/>
    <n v="22094.39"/>
    <n v="709.95"/>
    <n v="1000"/>
    <n v="5171.4583333333339"/>
  </r>
  <r>
    <n v="32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Backup Plus Ultra,Vyhot.: externý,Kapacita: 1TB,Rozmer: 2,5&quot;,Druh: HDD5400,Rozhranie: USB 3.0,Cache: 8MB,Zaruka: neuvedené"/>
    <n v="60.96"/>
    <n v="20"/>
    <n v="1219.2"/>
    <n v="55.5"/>
    <n v="91.88"/>
    <n v="148.36000000000001"/>
  </r>
  <r>
    <n v="32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Backup Plus Ultra,Vyhot.: externý,Kapacita: 2TB,Rozmer: 2,5&quot;,Druh: HDD5400,Rozhranie: USB 3.0,Cache: 8MB,Zaruka: neuvedené"/>
    <n v="94.33"/>
    <n v="20"/>
    <n v="1886.6"/>
    <n v="55.5"/>
    <n v="91.88"/>
    <n v="148.36000000000001"/>
  </r>
  <r>
    <n v="32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Backup Plus Ultra,Vyhot.: externý,Kapacita: 5TB,Rozmer: 2,5&quot;,Druh: HDD5400,Rozhranie: USB 3.0,Cache: 8MB,Zaruka: neuvedené"/>
    <n v="110.31"/>
    <n v="20"/>
    <n v="2206.1999999999998"/>
    <n v="55.5"/>
    <n v="91.88"/>
    <n v="148.36000000000001"/>
  </r>
  <r>
    <n v="32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700,Vyhot.: externý,Kapacita: 256GB,Rozmer: 2,5&quot;,Druh: SSD,Rozhranie: USB 3.1,Cache: bez,Zaruka: neuvedené"/>
    <n v="54.12"/>
    <n v="10"/>
    <n v="541.19999999999993"/>
    <n v="55.5"/>
    <n v="91.88"/>
    <n v="148.36000000000001"/>
  </r>
  <r>
    <n v="32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600,Vyhot.: externý,Kapacita: 512GB,Rozmer: 2,5&quot;,Druh: SSD,Rozhranie: USB 3.1,Cache: bez,Zaruka: neuvedené"/>
    <n v="101.89"/>
    <n v="10"/>
    <n v="1018.9"/>
    <n v="55.5"/>
    <n v="91.88"/>
    <n v="148.36000000000001"/>
  </r>
  <r>
    <n v="32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ADATA External SSD ASD700,Vyhot.: externý,Kapacita: 1TB,Rozmer: 2,5&quot;,Druh: SSD,Rozhranie: USB 3.1,Cache: bez,Zaruka: neuvedené"/>
    <n v="147.46"/>
    <n v="5"/>
    <n v="737.30000000000007"/>
    <n v="55.5"/>
    <n v="91.88"/>
    <n v="148.36000000000001"/>
  </r>
  <r>
    <n v="33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SSP-350ST 80+,Vyhot.: ATX,Vykon: 350W,Zaruka: neuvedené"/>
    <n v="33.15"/>
    <n v="20"/>
    <n v="663"/>
    <n v="35.864999999999995"/>
    <n v="54.65"/>
    <n v="66.5"/>
  </r>
  <r>
    <n v="33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SSP-450RT 80+,Vyhot.: ATX,Vykon: 450W,Zaruka: neuvedené"/>
    <n v="54.65"/>
    <n v="10"/>
    <n v="546.5"/>
    <n v="35.864999999999995"/>
    <n v="54.65"/>
    <n v="66.5"/>
  </r>
  <r>
    <n v="33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5"/>
    <s v="Typ: SEASONIC Focus Plus SSP-750FX 80+ GOLD,Vyhot.: ATX,Vykon: 750W,Zaruka: neuvedené"/>
    <n v="100.3"/>
    <n v="5"/>
    <n v="501.5"/>
    <n v="35.864999999999995"/>
    <n v="54.65"/>
    <n v="66.5"/>
  </r>
  <r>
    <n v="33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Seagate Barracuda,Vyhot.: interný,Kapacita: 1TB,Rozmer: 3,5&quot;,Druh: HDD7200,Rozhranie: SATA III,Cache: 64MB,Zaruka: neuvedené"/>
    <n v="41.15"/>
    <n v="5"/>
    <n v="205.75"/>
    <n v="55.5"/>
    <n v="91.88"/>
    <n v="148.36000000000001"/>
  </r>
  <r>
    <n v="33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20EZRZ,Vyhot.: interný,Kapacita: 2TB,Rozmer: 3,5&quot;,Druh: HDD5400,Rozhranie: SATA III,Cache: 64MB,Zaruka: neuvedené"/>
    <n v="56.67"/>
    <n v="5"/>
    <n v="283.35000000000002"/>
    <n v="55.5"/>
    <n v="91.88"/>
    <n v="148.36000000000001"/>
  </r>
  <r>
    <n v="33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30EZRZ,Vyhot.: interný,Kapacita: 3TB,Rozmer: 3,5&quot;,Druh: HDD5400,Rozhranie: SATA III,Cache: 64MB,Zaruka: neuvedené"/>
    <n v="89.57"/>
    <n v="5"/>
    <n v="447.84999999999997"/>
    <n v="55.5"/>
    <n v="91.88"/>
    <n v="148.36000000000001"/>
  </r>
  <r>
    <n v="33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WD Blue WD40EZRZ,Vyhot.: interný,Kapacita: 4TB,Rozmer: 3,5&quot;,Druh: HDD5400,Rozhranie: SATA III,Cache: 64MB,Zaruka: neuvedené"/>
    <n v="92.69"/>
    <n v="5"/>
    <n v="463.45"/>
    <n v="55.5"/>
    <n v="91.88"/>
    <n v="148.36000000000001"/>
  </r>
  <r>
    <n v="33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2,5&quot;,Druh: SSD,Rozhranie: SATA 6Gb/s,Cache: bez,Zaruka: neuvedené"/>
    <n v="41.97"/>
    <n v="20"/>
    <n v="839.4"/>
    <n v="55.5"/>
    <n v="91.88"/>
    <n v="148.36000000000001"/>
  </r>
  <r>
    <n v="33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2,5&quot;,Druh: SSD,Rozhranie: SATA 6Gb/s,Cache: bez,Zaruka: neuvedené"/>
    <n v="97.15"/>
    <n v="10"/>
    <n v="971.5"/>
    <n v="55.5"/>
    <n v="91.88"/>
    <n v="148.36000000000001"/>
  </r>
  <r>
    <n v="34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1024GB,Rozmer: 2,5&quot;,Druh: SSD,Rozhranie: SATA 6Gb/s,Cache: bez,Zaruka: neuvedené"/>
    <n v="185.85"/>
    <n v="5"/>
    <n v="929.25"/>
    <n v="55.5"/>
    <n v="91.88"/>
    <n v="148.36000000000001"/>
  </r>
  <r>
    <n v="34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256GB,Rozmer: karta,Druh: SSD,Rozhranie: NVMe,Cache: bez,Zaruka: neuvedené"/>
    <n v="57.32"/>
    <n v="5"/>
    <n v="286.60000000000002"/>
    <n v="55.5"/>
    <n v="91.88"/>
    <n v="148.36000000000001"/>
  </r>
  <r>
    <n v="34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545s Series,Vyhot.: interný,Kapacita: 512GB,Rozmer: karta,Druh: SSD,Rozhranie: NVMe,Cache: bez,Zaruka: neuvedené"/>
    <n v="97.15"/>
    <n v="5"/>
    <n v="485.75"/>
    <n v="55.5"/>
    <n v="91.88"/>
    <n v="148.36000000000001"/>
  </r>
  <r>
    <n v="34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4"/>
    <s v="Typ: Intel SSD 660p Series,Vyhot.: interný,Kapacita: 1TB,Rozmer: karta,Druh: SSD,Rozhranie: NVMe,Cache: bez,Zaruka: neuvedené"/>
    <n v="94.09"/>
    <n v="5"/>
    <n v="470.45000000000005"/>
    <n v="55.5"/>
    <n v="91.88"/>
    <n v="148.36000000000001"/>
  </r>
  <r>
    <n v="34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TRANSCEND 2Rx8 CL5,Druh: DIMM,Kapacita: 2GB,Generacia: DDR2,Frekv.: 667MHz,Zaruka: neuvedené"/>
    <n v="25.22"/>
    <n v="20"/>
    <n v="504.4"/>
    <n v="22.082500000000003"/>
    <n v="31.15"/>
    <n v="48.125"/>
  </r>
  <r>
    <n v="34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,Druh: DIMM,Kapacita: 4GB,Generacia: DDR3,Frekv.: 1333MHz,Zaruka: neuvedené"/>
    <n v="16.04"/>
    <n v="20"/>
    <n v="320.79999999999995"/>
    <n v="22.082500000000003"/>
    <n v="31.15"/>
    <n v="48.125"/>
  </r>
  <r>
    <n v="34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9,Druh: DIMM,Kapacita: 8GB,Generacia: DDR3,Frekv.: 1333MHz,Zaruka: neuvedené"/>
    <n v="33.380000000000003"/>
    <n v="5"/>
    <n v="166.9"/>
    <n v="22.082500000000003"/>
    <n v="31.15"/>
    <n v="48.125"/>
  </r>
  <r>
    <n v="34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16 CL17,Druh: DIMM,Kapacita: 4GB,Generacia: DDR4,Frekv.: 2400MHz,Zaruka: neuvedené"/>
    <n v="16.670000000000002"/>
    <n v="5"/>
    <n v="83.350000000000009"/>
    <n v="22.082500000000003"/>
    <n v="31.15"/>
    <n v="48.125"/>
  </r>
  <r>
    <n v="34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DIMM,Kapacita: 8GB,Generacia: DDR4,Frekv.: 2400MHz,Zaruka: neuvedené"/>
    <n v="30.8"/>
    <n v="5"/>
    <n v="154"/>
    <n v="22.082500000000003"/>
    <n v="31.15"/>
    <n v="48.125"/>
  </r>
  <r>
    <n v="34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DIMM,Kapacita: 16GB,Generacia: DDR4,Frekv.: 2400MHz,Zaruka: neuvedené"/>
    <n v="59.16"/>
    <n v="5"/>
    <n v="295.79999999999995"/>
    <n v="22.082500000000003"/>
    <n v="31.15"/>
    <n v="48.125"/>
  </r>
  <r>
    <n v="35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TRANSCEND 1Rx16 CL5,Druh: SODIMM,Kapacita: 2GB,Generacia: DDR2,Frekv.: 667MHz,Zaruka: neuvedené"/>
    <n v="24.71"/>
    <n v="10"/>
    <n v="247.10000000000002"/>
    <n v="22.082500000000003"/>
    <n v="31.15"/>
    <n v="48.125"/>
  </r>
  <r>
    <n v="35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SR X8 CL9,Druh: SODIMM,Kapacita: 4GB,Generacia: DDR3,Frekv.: 1333MHz,Zaruka: neuvedené"/>
    <n v="16.04"/>
    <n v="5"/>
    <n v="80.199999999999989"/>
    <n v="22.082500000000003"/>
    <n v="31.15"/>
    <n v="48.125"/>
  </r>
  <r>
    <n v="35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SR X8 CL9,Druh: SODIMM,Kapacita: 8GB,Generacia: DDR3,Frekv.: 1333MHz,Zaruka: neuvedené"/>
    <n v="33.380000000000003"/>
    <n v="5"/>
    <n v="166.9"/>
    <n v="22.082500000000003"/>
    <n v="31.15"/>
    <n v="48.125"/>
  </r>
  <r>
    <n v="35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CL17,Druh: SODIMM,Kapacita: 4GB,Generacia: DDR4,Frekv.: 2400MHz,Zaruka: neuvedené"/>
    <n v="16.670000000000002"/>
    <n v="5"/>
    <n v="83.350000000000009"/>
    <n v="22.082500000000003"/>
    <n v="31.15"/>
    <n v="48.125"/>
  </r>
  <r>
    <n v="35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1Rx8 CL17,Druh: SODIMM,Kapacita: 8GB,Generacia: DDR4,Frekv.: 2400MHz,Zaruka: neuvedené"/>
    <n v="30.8"/>
    <n v="5"/>
    <n v="154"/>
    <n v="22.082500000000003"/>
    <n v="31.15"/>
    <n v="48.125"/>
  </r>
  <r>
    <n v="35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6"/>
    <s v="Typ: Kingston ValueRAM 2Rx8 CL17,Druh: SODIMM,Kapacita: 16GB,Generacia: DDR4,Frekv.: 2400MHz,Zaruka: neuvedené"/>
    <n v="61.08"/>
    <n v="5"/>
    <n v="305.39999999999998"/>
    <n v="22.082500000000003"/>
    <n v="31.15"/>
    <n v="48.125"/>
  </r>
  <r>
    <n v="35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T710 2GD3H H2D,Proc.: Passmark 650,RAM: 2GB GDDR3,Frekv. Jadra/RAM: 954/1600 MHz,Zbernica: PCIe x16 2.0,Vystupy: 2xDVI,HDMI,Zaruka: neuvedené"/>
    <n v="45.53"/>
    <n v="5"/>
    <n v="227.65"/>
    <n v="47.47"/>
    <n v="86.69"/>
    <n v="146.42500000000001"/>
  </r>
  <r>
    <n v="35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Quadro P400,Proc.: Passmark 1450,RAM: 2GB GDDR5,Frekv. Jadra/RAM: 1070/1752 MHz,Zbernica: PCIe x16 3.0,Vystupy: 3xminiDP,Zaruka: neuvedené"/>
    <n v="86.69"/>
    <n v="5"/>
    <n v="433.45"/>
    <n v="47.47"/>
    <n v="86.69"/>
    <n v="146.42500000000001"/>
  </r>
  <r>
    <n v="35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7"/>
    <s v="Typ: Nvidia GeForce RTX2080,Proc.: Passmark 15500,RAM: 8GB GDDR6,Frekv. Jadra/RAM: 1515/8x1750 MHz,Zbernica: PCIe x16 3.0,Vystupy: HDMI, 3xDP, USB-C,Zaruka: neuvedené"/>
    <n v="691.12"/>
    <n v="5"/>
    <n v="3455.6"/>
    <n v="47.47"/>
    <n v="86.69"/>
    <n v="146.42500000000001"/>
  </r>
  <r>
    <n v="359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418play,Technol.: SATA/iSCSI,Radic: RAID0-10,Cache: 4GB RAM,Disky: 4x HDD Toshiba NAS N300 6TB,Porty: 4 SATA,Vyhotovenie: na stôl,2x1Gb LAN,vzdialený prístup,Zaruka: 3 roky"/>
    <n v="1051.8900000000001"/>
    <n v="2"/>
    <n v="2103.7800000000002"/>
    <n v="2032"/>
    <n v="19360"/>
    <n v="87628.37"/>
  </r>
  <r>
    <n v="360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DS1819+,Technol.: SATA/iSCSI,Radic: RAID0-10,Cache: 4GB RAM,Disky: 8x HDD Toshiba NAS N300 6TB,Porty: 8 SATA,Vyhotovenie: na stôl,4x1Gb LAN,vzdialený prístup, Zaruka: 3 roky"/>
    <n v="2137.31"/>
    <n v="1"/>
    <n v="2137.31"/>
    <n v="2032"/>
    <n v="19360"/>
    <n v="87628.37"/>
  </r>
  <r>
    <n v="361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Synology DiskStation RS3617xs+,Technol.: SATA/iSCSI,Radic: RAID0-10,Cache: 24GB RAM,Disky: 2x Intel SSD 960GB, 10x HDD Toshiba NAS N300 6TB,Porty: 12 SATA,Vyhotovenie: rackmount,4x1Gb + 2x10Gb LAN,vzdialený prístup,Zaruka: 5"/>
    <n v="6274.36"/>
    <n v="1"/>
    <n v="6274.36"/>
    <n v="2032"/>
    <n v="19360"/>
    <n v="87628.37"/>
  </r>
  <r>
    <n v="362"/>
    <s v="Rámcová dohoda na dodávku hardvéru informačných a komunikačných technológií pre Technickú univerzitu vo Zvolene"/>
    <n v="4185749"/>
    <s v="https://crz.gov.sk/4185749"/>
    <s v="https://www.crz.gov.sk/data/att/4185755_dokument1.pdf"/>
    <x v="9"/>
    <s v="Typ: HP MSA2052,Technol.: iSCSI/FC,Radic: 2xRAID0-10,Cache: 2x800GB SSD,Disky: 24x 1.8TB HDD 10000RPM + 12x 4TB HDD,Porty: 12 SATA,Vyhotovenie: rackmount,4x1Gb + 2x10Gb LAN,vzdialený prístup,Zaruka:5+4HOD"/>
    <n v="50418.29"/>
    <n v="1"/>
    <n v="50418.29"/>
    <n v="2032"/>
    <n v="19360"/>
    <n v="87628.37"/>
  </r>
  <r>
    <n v="363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E Proliant Microserver Gen10,Proc: CPU 4-core,6-gcore 3,2GHz,RAM: 16GB,Disk: HDD 2x 1TB,Radic: RAID1,0,10,Ethernet: 2x 1Gbps,GPU: Zdiel.,Vyhotovenie: neuvedené,OS nezávislý systém manažment,DVD-RW,Zaruka: 5+NBD"/>
    <n v="1203.04"/>
    <n v="4"/>
    <n v="4812.16"/>
    <n v="7209.15"/>
    <n v="15534.78"/>
    <n v="29950.799999999999"/>
  </r>
  <r>
    <n v="364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E Proliant DL325 Gen10, Proc: 8 jadier,Passmark 11300 2,1GHz,RAM: 32GB,Disk: HDD 2x 300GB,Radic: RAID 2GB cache,Ethernet: 4x 1Gbps + 2x 10Gb SFP + 2x16Gb FC,GPU: Zdiel.,Vyhotovenie: 1U,OS nezávislý systém manažment,Zaruka: 5+NBD"/>
    <n v="6248.29"/>
    <n v="3"/>
    <n v="18744.87"/>
    <n v="7209.15"/>
    <n v="15534.78"/>
    <n v="29950.799999999999"/>
  </r>
  <r>
    <n v="365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E Proliant DL360 Gen10, Proc: 8 jadier,Passmark 10500 1,8GHz,RAM: 128GB,Disk: HDD 2x 300GB,Radic: RAID 2GB cache,Ethernet: 4x 1Gbps + 2x 10Gb SFP + 2x16Gb FC,GPU: Zdiel.,Vyhotovenie: 1U,OS nezávislý systém manažment,Zaruka: 5+NBD"/>
    <n v="10108.18"/>
    <n v="1"/>
    <n v="10108.18"/>
    <n v="7209.15"/>
    <n v="15534.78"/>
    <n v="29950.799999999999"/>
  </r>
  <r>
    <n v="366"/>
    <s v="Rámcová dohoda na dodávku hardvéru informačných a komunikačných technológií pre Technickú univerzitu vo Zvolene"/>
    <n v="4185749"/>
    <s v="https://crz.gov.sk/4185749"/>
    <s v="https://www.crz.gov.sk/data/att/4185755_dokument1.pdf"/>
    <x v="8"/>
    <s v="Typ: HPE Proliant DL580 Gen10, Proc: 4x14 jadier, Passmark 2x18100 4x2,2GHz,RAM: 768GB,Disk: SSD 2x 480GB + HDD 14x 1.2TB,Radic: RAID 2GB cache,Ethernet: 4x 1Gbps + 2x 10Gb SPF + 2x16Gb FC,GPU: Zdiel.,Vyhotovenie: 4U,OS nezávislý systém manažment,Zaruka: 5+NBD"/>
    <n v="40494.6"/>
    <n v="1"/>
    <n v="40494.6"/>
    <n v="7209.15"/>
    <n v="15534.78"/>
    <n v="29950.799999999999"/>
  </r>
  <r>
    <n v="36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24T-ON Switch,Porty/rychl.: 24x1Gbps + 4x10Gbps SFP,Uroven: 2,Vyhot.: 1U,VLAN: 512,manažovaný,Zaruka: neuvedené"/>
    <n v="2651.33"/>
    <n v="10"/>
    <n v="26513.3"/>
    <n v="1759.125"/>
    <n v="3923.7249999999999"/>
    <n v="12062.504999999999"/>
  </r>
  <r>
    <n v="36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1148T-ON Switch,Porty/rychl.: 48x1Gbps + 4x10Gbps SFP,Uroven: 2,Vyhot.: 1U,VLAN: 512,manažovaný,Zaruka: neuvedené"/>
    <n v="2366.31"/>
    <n v="10"/>
    <n v="23663.1"/>
    <n v="1759.125"/>
    <n v="3923.7249999999999"/>
    <n v="12062.504999999999"/>
  </r>
  <r>
    <n v="36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24ET-ON Switch,Porty/rychl.: 24x1Gbps + 2xCombo RJ45/SFP + 4x10Gbps SFP,Uroven: 2/3,Vyhot.: 1U,VLAN: 4000,iSCSI,manažovaný,Zaruka: neuvedené"/>
    <n v="3897.45"/>
    <n v="3"/>
    <n v="11692.349999999999"/>
    <n v="1759.125"/>
    <n v="3923.7249999999999"/>
    <n v="12062.504999999999"/>
  </r>
  <r>
    <n v="37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EMC N3048ET-ON Switch,Porty/rychl.: 48x1Gbps + 2xCombo RJ45/SFP + 4x10Gbps SFP,Uroven: 2/3,Vyhot.: 1U,VLAN: 4000,iSCSI,manažovaný,Zaruka: neuvedené"/>
    <n v="4513.88"/>
    <n v="3"/>
    <n v="13541.64"/>
    <n v="1759.125"/>
    <n v="3923.7249999999999"/>
    <n v="12062.504999999999"/>
  </r>
  <r>
    <n v="37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32F,Porty/rychl.: 12x10Gb SFP+ 2xQSFP + 10x LR4 40Gbe,Uroven: 2/3,Vyhot.: 1U,VLAN: 4000,iSCSI,nemanažovaný,Zaruka: neuvedené"/>
    <n v="18534.98"/>
    <n v="2"/>
    <n v="37069.96"/>
    <n v="1759.125"/>
    <n v="3923.7249999999999"/>
    <n v="12062.504999999999"/>
  </r>
  <r>
    <n v="37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8"/>
    <s v="Typ: Dell Networking N4064F,Porty/rychl.: 12x10Gb SFP+ 4xQSFP + 32x LR4 40Gbe,Uroven: 2/3,Vyhot.: 1U,VLAN: 4000,iSCSI,nemanažovaný,Zaruka: neuvedené"/>
    <n v="27363.9"/>
    <n v="1"/>
    <n v="27363.9"/>
    <n v="1759.125"/>
    <n v="3923.7249999999999"/>
    <n v="12062.504999999999"/>
  </r>
  <r>
    <n v="37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 PRO,Urcenie: exteriér,LAN: 2x1Gbps,Pasma: 2,4+5GHz,Rychl.: 450Mbps + 1300MBps,Normy: 802.11ac-af + PoE + MIMO 3x3,Roaming: áno,Max. SSID: 8,Zaruka: neuvedené"/>
    <n v="155"/>
    <n v="10"/>
    <n v="1550"/>
    <n v="88.21"/>
    <n v="134.57"/>
    <n v="252.7"/>
  </r>
  <r>
    <n v="374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Mesh,Urcenie: exteriér,LAN: 2x1Gbps,Pasma: 2,4+5GHz,Rychl.: 450Mbps + 1300MBps,Normy: 802.11ac-af + PoE + MIMO 3x3,Roaming: áno,Max. SSID: 8,Zaruka: neuvedené"/>
    <n v="77.25"/>
    <n v="6"/>
    <n v="463.5"/>
    <n v="88.21"/>
    <n v="134.57"/>
    <n v="252.7"/>
  </r>
  <r>
    <n v="375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R,Urcenie: interiér,LAN: 1x1Gbps,Pasma: 2,4+5GHz,Rychl.: 450Mbps + 867MBps,Normy: 802.11ac + PoE + MIMO 3x3/2x2,Roaming: áno,Max. SSID: 8,Zaruka: neuvedené"/>
    <n v="88.32"/>
    <n v="6"/>
    <n v="529.91999999999996"/>
    <n v="88.21"/>
    <n v="134.57"/>
    <n v="252.7"/>
  </r>
  <r>
    <n v="376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PRO,Urcenie: interiér,LAN: 1x1Gbps,Pasma: 2,4+5GHz,Rychl.: 450Mbps + 1300MBps,Normy: 802.11ac + PoE + MIMO 3x3/2x2,Roaming: áno,Max. SSID: 8,Zaruka: neuvedené"/>
    <n v="125.21"/>
    <n v="10"/>
    <n v="1252.0999999999999"/>
    <n v="88.21"/>
    <n v="134.57"/>
    <n v="252.7"/>
  </r>
  <r>
    <n v="377"/>
    <s v="Rámcová dohoda na dodávku hardvéru informačných a komunikačných technológií pre Technickú univerzitu vo Zvolene"/>
    <n v="4185749"/>
    <s v="https://crz.gov.sk/4185749"/>
    <s v="https://www.crz.gov.sk/data/att/4185755_dokument1.pdf"/>
    <x v="19"/>
    <s v="Typ: Ubiquiti UniFi AP AC LITE,Urcenie: interiér,LAN: 1x1Gbps,Pasma: 2,4+5GHz,Rychl.: 300Mbps + 867MBps,Normy: 802.11ac + PoE + MIMO 3x3/2x2,Roaming: áno,Max. SSID: 8,Zaruka: neuvedené"/>
    <n v="71.14"/>
    <n v="4"/>
    <n v="284.56"/>
    <n v="88.21"/>
    <n v="134.57"/>
    <n v="252.7"/>
  </r>
  <r>
    <n v="378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500i UPS 500VA,Spinanie: Line-ineractive,Vykon: 300W,Vyhot.: Microtower,Zaruka: neuvedené"/>
    <n v="43.81"/>
    <n v="1"/>
    <n v="43.81"/>
    <n v="59.227499999999999"/>
    <n v="332.14"/>
    <n v="1331.8050000000001"/>
  </r>
  <r>
    <n v="379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650i UPS 650VA,Spinanie: Line-ineractive,Vykon: 360W,Vyhot.: Microtower,USB,Zaruka: neuvedené"/>
    <n v="45.57"/>
    <n v="1"/>
    <n v="45.57"/>
    <n v="59.227499999999999"/>
    <n v="332.14"/>
    <n v="1331.8050000000001"/>
  </r>
  <r>
    <n v="380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1500i UPS 1500VA,Spinanie: Line-ineractive,Vykon: 900W,Vyhot.: Microtower,USB,Zaruka: neuvedené"/>
    <n v="116.34"/>
    <n v="1"/>
    <n v="116.34"/>
    <n v="59.227499999999999"/>
    <n v="332.14"/>
    <n v="1331.8050000000001"/>
  </r>
  <r>
    <n v="381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5E 850i Rack1U UPS 850VA,Spinanie: Line-ineractive,Vykon: 600W,Vyhot.: 1U,USB,RS232,Zaruka: neuvedené"/>
    <n v="391.68"/>
    <n v="1"/>
    <n v="391.68"/>
    <n v="59.227499999999999"/>
    <n v="332.14"/>
    <n v="1331.8050000000001"/>
  </r>
  <r>
    <n v="382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1500i RT2U UPS 1500VA,Spinanie: Online,Vykon: 1500W,Vyhot.: 2U,LAN,USB,RS232,Zaruka: neuvedené"/>
    <n v="1095.21"/>
    <n v="1"/>
    <n v="1095.21"/>
    <n v="59.227499999999999"/>
    <n v="332.14"/>
    <n v="1331.8050000000001"/>
  </r>
  <r>
    <n v="383"/>
    <s v="Rámcová dohoda na dodávku hardvéru informačných a komunikačných technológií pre Technickú univerzitu vo Zvolene"/>
    <n v="4185749"/>
    <s v="https://crz.gov.sk/4185749"/>
    <s v="https://www.crz.gov.sk/data/att/4185755_dokument1.pdf"/>
    <x v="11"/>
    <s v="Typ: Eaton 9PX 3000i RT2U Netpack UPS 3000VA,Spinanie: Online,Vykon: 3000W,Vyhot.: 2U,LAN,USB,RS232,Zaruka: neuvedené"/>
    <n v="1950.63"/>
    <n v="1"/>
    <n v="1950.63"/>
    <n v="59.227499999999999"/>
    <n v="332.14"/>
    <n v="1331.8050000000001"/>
  </r>
  <r>
    <n v="384"/>
    <s v="Rámcová dohoda"/>
    <n v="5359822"/>
    <s v="https://crz.gov.sk/zmluva/5359822"/>
    <s v="https://www.crz.gov.sk/data/att/2649193.pdf"/>
    <x v="20"/>
    <s v="Typ: ASUS TUF B360M-PLUS GAMING,Format: mATX,Socket: LGA1151,RAMSloty: 2xDDR4,USB: 3.1+6x2.0,Ostatne: LAN, zvuk, 6xSATAIII, 1xNVMe,Zaruka: neuvedené"/>
    <n v="69"/>
    <n v="5"/>
    <n v="345"/>
    <n v="69.75"/>
    <n v="86"/>
    <n v="144"/>
  </r>
  <r>
    <n v="385"/>
    <s v="Rámcová dohoda"/>
    <n v="5359822"/>
    <s v="https://crz.gov.sk/zmluva/5359822"/>
    <s v="https://www.crz.gov.sk/data/att/2649193.pdf"/>
    <x v="20"/>
    <s v="Typ: ASUS PRIME B360M-K,Socket: LGA1151,Format: mATX,RAMSloty: 2xDDR4,USB: 3.1+4x2.0,Ostatne: LAN, zvuk, 6xSATAIII, 1xNVMe,Zaruka: neuvedené"/>
    <n v="54"/>
    <n v="5"/>
    <n v="270"/>
    <n v="69.75"/>
    <n v="86"/>
    <n v="144"/>
  </r>
  <r>
    <n v="386"/>
    <s v="Rámcová dohoda"/>
    <n v="5359822"/>
    <s v="https://crz.gov.sk/zmluva/5359822"/>
    <s v="https://www.crz.gov.sk/data/att/2649193.pdf"/>
    <x v="20"/>
    <s v="Typ: Gigabyte Z390 M Gaming,Socket: LGA1151,Format: mATX,RAMSloty: 4xDDR4,USB: 8x3.1+4x2.0,Ostatne: LAN, zvuk, 6xSATAIII, 2xNVMe,Zaruka: neuvedené"/>
    <n v="114"/>
    <n v="5"/>
    <n v="570"/>
    <n v="69.75"/>
    <n v="86"/>
    <n v="144"/>
  </r>
  <r>
    <n v="387"/>
    <s v="Rámcová dohoda"/>
    <n v="5359822"/>
    <s v="https://crz.gov.sk/zmluva/5359822"/>
    <s v="https://www.crz.gov.sk/data/att/2649193.pdf"/>
    <x v="20"/>
    <s v="Typ: MSI MPG Z390,Socket: LGA1151,Format: ATX,RAMSloty: 4xDDR4 (max. 64GB),USB: 7x3.1+6x2.0,Ostatne: LAN, zvuk, 6xSATAIII, 2xNVMe,Zaruka: neuvedené"/>
    <n v="157"/>
    <n v="5"/>
    <n v="785"/>
    <n v="69.75"/>
    <n v="86"/>
    <n v="144"/>
  </r>
  <r>
    <n v="388"/>
    <s v="Rámcová dohoda"/>
    <n v="5359822"/>
    <s v="https://crz.gov.sk/zmluva/5359822"/>
    <s v="https://www.crz.gov.sk/data/att/2649193.pdf"/>
    <x v="20"/>
    <s v="Typ: ASUS ROG STRIX X299-E GAMING,Socket: LGA2066,Format: mATX,RAMSloty: 2xDDR4,USB: 3.1+6x2.0,Ostatne: LAN, zvuk, 6xSATAIII, 1xNVMe,Zaruka: neuvedené"/>
    <n v="198"/>
    <n v="1"/>
    <n v="198"/>
    <n v="69.75"/>
    <n v="86"/>
    <n v="144"/>
  </r>
  <r>
    <n v="389"/>
    <s v="Rámcová dohoda"/>
    <n v="5359822"/>
    <s v="https://crz.gov.sk/zmluva/5359822"/>
    <s v="https://www.crz.gov.sk/data/att/2649193.pdf"/>
    <x v="20"/>
    <s v="Typ: ASRock AB350M PRO4 R2.0,Socket: AM4,Format: mATX,RAMSloty: 2xDDR4,USB: 3.1+2x2.0,Ostatne: LAN, zvuk, 4xSATAIII, 1xNVMe,Zaruka: neuvedené"/>
    <n v="64"/>
    <n v="2"/>
    <n v="128"/>
    <n v="69.75"/>
    <n v="86"/>
    <n v="144"/>
  </r>
  <r>
    <n v="390"/>
    <s v="Rámcová dohoda"/>
    <n v="5359822"/>
    <s v="https://crz.gov.sk/zmluva/5359822"/>
    <s v="https://www.crz.gov.sk/data/att/2649193.pdf"/>
    <x v="20"/>
    <s v="Typ: ASUS TUF B450-PLUS GAMING,Socket: AM4,Format: mATX,RAMSloty: 2xDDR4,USB: 6x3.1+6x2.0,Ostatne: LAN, zvuk, 6xSATAIII, 1xNVMe,Zaruka: neuvedené"/>
    <n v="88"/>
    <n v="2"/>
    <n v="176"/>
    <n v="69.75"/>
    <n v="86"/>
    <n v="144"/>
  </r>
  <r>
    <n v="391"/>
    <s v="Rámcová dohoda"/>
    <n v="5359822"/>
    <s v="https://crz.gov.sk/zmluva/5359822"/>
    <s v="https://www.crz.gov.sk/data/att/2649193.pdf"/>
    <x v="20"/>
    <s v="Typ: ASUS PRIME B460M-K,Socket: LGA1200,Format: mATX,RAMSloty: 2xDDR4,USB: 4x3.2+4x2.0,Ostatne: LAN, zvuk, 6xSATAIII, 1xNVMe,Zaruka: neuvedené"/>
    <n v="62"/>
    <n v="10"/>
    <n v="620"/>
    <n v="69.75"/>
    <n v="86"/>
    <n v="144"/>
  </r>
  <r>
    <n v="392"/>
    <s v="Rámcová dohoda"/>
    <n v="5359822"/>
    <s v="https://crz.gov.sk/zmluva/5359822"/>
    <s v="https://www.crz.gov.sk/data/att/2649193.pdf"/>
    <x v="20"/>
    <s v="Typ: ASUS PRIME H470M-PLUS,Socket: LGA1200,Format: mATX,RAMSloty: 2xDDR4,USB: 4x3.2+4x2.0,Ostatne: LAN, zvuk, 5xSATAIII, 2xNVMe,Zaruka: neuvedené"/>
    <n v="86"/>
    <n v="10"/>
    <n v="860"/>
    <n v="69.75"/>
    <n v="86"/>
    <n v="144"/>
  </r>
  <r>
    <n v="393"/>
    <s v="Rámcová dohoda"/>
    <n v="5359822"/>
    <s v="https://crz.gov.sk/zmluva/5359822"/>
    <s v="https://www.crz.gov.sk/data/att/2649193.pdf"/>
    <x v="20"/>
    <s v="Typ:MSI MAG Z490 Tomahawk,Socket: LGA1200,Format: ATX,RAMSloty: 4xDDR4 (max. 128GB),USB: 6x3.2+6x2.0,Ostatne: LAN, zvuk, 6xSATAIII, 2xNVMe,Zaruka: neuvedené"/>
    <n v="154"/>
    <n v="8"/>
    <n v="1232"/>
    <n v="69.75"/>
    <n v="86"/>
    <n v="144"/>
  </r>
  <r>
    <n v="394"/>
    <s v="Rámcová dohoda"/>
    <n v="5359822"/>
    <s v="https://crz.gov.sk/zmluva/5359822"/>
    <s v="https://www.crz.gov.sk/data/att/2649193.pdf"/>
    <x v="20"/>
    <s v="Typ: ASUS PRIME B550M-K,Socket: AM4,Format: mATX,RAMSloty: 4xDDR4,USB: 6x3.2+4x2.0,Ostatne: LAN, zvuk, 4xSATAIII, 1xNVMe,Zaruka: neuvedené"/>
    <n v="72"/>
    <n v="3"/>
    <n v="216"/>
    <n v="69.75"/>
    <n v="86"/>
    <n v="144"/>
  </r>
  <r>
    <n v="395"/>
    <s v="Rámcová dohoda"/>
    <n v="5359822"/>
    <s v="https://crz.gov.sk/zmluva/5359822"/>
    <s v="https://www.crz.gov.sk/data/att/2649193.pdf"/>
    <x v="20"/>
    <s v="Typ: MSI B450M MORTAR MAX,Socket: AM4,Format: mATX,RAMSloty: 4xDDR4,USB: 4x3.2+2x2.0,Ostatne: LAN, zvuk, 4xSATAIII, 2xNVMe,Zaruka: neuvedené"/>
    <n v="84"/>
    <n v="3"/>
    <n v="252"/>
    <n v="69.75"/>
    <n v="86"/>
    <n v="144"/>
  </r>
  <r>
    <n v="396"/>
    <s v="Rámcová dohoda"/>
    <n v="5359822"/>
    <s v="https://crz.gov.sk/zmluva/5359822"/>
    <s v="https://www.crz.gov.sk/data/att/2649193.pdf"/>
    <x v="20"/>
    <s v="Typ: ASUS ROG STRIX B450-F GAMING,Socket: AM4,Format: ATX,RAMSloty: 4xDDR4 (max. 128MB),USB: 4x3.1,Ostatne: LAN, zvuk, 6xSATAIII, 2xNVMe,Zaruka: neuvedené"/>
    <n v="86"/>
    <n v="3"/>
    <n v="258"/>
    <n v="69.75"/>
    <n v="86"/>
    <n v="144"/>
  </r>
  <r>
    <n v="397"/>
    <s v="Rámcová dohoda"/>
    <n v="5359822"/>
    <s v="https://crz.gov.sk/zmluva/5359822"/>
    <s v="https://www.crz.gov.sk/data/att/2649193.pdf"/>
    <x v="21"/>
    <s v="Typ: Intel i3-7100,Frekv.: 3.9 GHz,Jadra: 2,Vlakna: 4,Passmark: 4267,Zaruka: neuvedené"/>
    <n v="98"/>
    <n v="3"/>
    <n v="294"/>
    <n v="119"/>
    <n v="181.5"/>
    <n v="272"/>
  </r>
  <r>
    <n v="398"/>
    <s v="Rámcová dohoda"/>
    <n v="5359822"/>
    <s v="https://crz.gov.sk/zmluva/5359822"/>
    <s v="https://www.crz.gov.sk/data/att/2649193.pdf"/>
    <x v="21"/>
    <s v="Typ: Intel i3-7300,Frekv.: 4.0 GHz,Jadra: 2,Vlakna: 4,Passmark: 4928,Zaruka: neuvedené"/>
    <n v="109"/>
    <n v="3"/>
    <n v="327"/>
    <n v="119"/>
    <n v="181.5"/>
    <n v="272"/>
  </r>
  <r>
    <n v="399"/>
    <s v="Rámcová dohoda"/>
    <n v="5359822"/>
    <s v="https://crz.gov.sk/zmluva/5359822"/>
    <s v="https://www.crz.gov.sk/data/att/2649193.pdf"/>
    <x v="21"/>
    <s v="Typ: Intel i5-7400,Frekv.: 3.0 GHz,Jadra: 4,Vlakna: 4,Passmark: 5704,Zaruka: neuvedené"/>
    <n v="115"/>
    <n v="3"/>
    <n v="345"/>
    <n v="119"/>
    <n v="181.5"/>
    <n v="272"/>
  </r>
  <r>
    <n v="400"/>
    <s v="Rámcová dohoda"/>
    <n v="5359822"/>
    <s v="https://crz.gov.sk/zmluva/5359822"/>
    <s v="https://www.crz.gov.sk/data/att/2649193.pdf"/>
    <x v="21"/>
    <s v="Typ: Intel i5-7400T,Frekv.: 2.4 GHz,Jadra: 4,Vlakna: 4,Passmark: 4977,Zaruka: neuvedené"/>
    <n v="119"/>
    <n v="3"/>
    <n v="357"/>
    <n v="119"/>
    <n v="181.5"/>
    <n v="272"/>
  </r>
  <r>
    <n v="401"/>
    <s v="Rámcová dohoda"/>
    <n v="5359822"/>
    <s v="https://crz.gov.sk/zmluva/5359822"/>
    <s v="https://www.crz.gov.sk/data/att/2649193.pdf"/>
    <x v="21"/>
    <s v="Typ: Intel i5-7500,Frekv.: 3.4 GHz,Jadra: 4,Vlakna: 4,Passmark: 6333,Zaruka: neuvedené"/>
    <n v="128.19999999999999"/>
    <n v="3"/>
    <n v="384.59999999999997"/>
    <n v="119"/>
    <n v="181.5"/>
    <n v="272"/>
  </r>
  <r>
    <n v="402"/>
    <s v="Rámcová dohoda"/>
    <n v="5359822"/>
    <s v="https://crz.gov.sk/zmluva/5359822"/>
    <s v="https://www.crz.gov.sk/data/att/2649193.pdf"/>
    <x v="21"/>
    <s v="Typ: Intel i5-7600T,Frekv.: 3.7 GHz,Jadra: 4,Vlakna: 4,Passmark: 6253,Zaruka: neuvedené"/>
    <n v="139.80000000000001"/>
    <n v="3"/>
    <n v="419.40000000000003"/>
    <n v="119"/>
    <n v="181.5"/>
    <n v="272"/>
  </r>
  <r>
    <n v="403"/>
    <s v="Rámcová dohoda"/>
    <n v="5359822"/>
    <s v="https://crz.gov.sk/zmluva/5359822"/>
    <s v="https://www.crz.gov.sk/data/att/2649193.pdf"/>
    <x v="21"/>
    <s v="Typ: Intel i7-7700K,Frekv.: 4.2 GHz,Jadra: 4,Vlakna: 8,Passmark: 9931,Zaruka: neuvedené"/>
    <n v="198"/>
    <n v="3"/>
    <n v="594"/>
    <n v="119"/>
    <n v="181.5"/>
    <n v="272"/>
  </r>
  <r>
    <n v="404"/>
    <s v="Rámcová dohoda"/>
    <n v="5359822"/>
    <s v="https://crz.gov.sk/zmluva/5359822"/>
    <s v="https://www.crz.gov.sk/data/att/2649193.pdf"/>
    <x v="21"/>
    <s v="Typ: Intel i3-8100,Frekv.: 3.6 GHz,Jadra: 4,Vlakna: 4,Passmark: 6378,Zaruka: neuvedené"/>
    <n v="89"/>
    <n v="5"/>
    <n v="445"/>
    <n v="119"/>
    <n v="181.5"/>
    <n v="272"/>
  </r>
  <r>
    <n v="405"/>
    <s v="Rámcová dohoda"/>
    <n v="5359822"/>
    <s v="https://crz.gov.sk/zmluva/5359822"/>
    <s v="https://www.crz.gov.sk/data/att/2649193.pdf"/>
    <x v="21"/>
    <s v="Typ: Intel i3-8350K,Frekv.: 4.0 GHz,Jadra: 4,Vlakna: 4,Passmark: 6968,Zaruka: neuvedené"/>
    <n v="97"/>
    <n v="5"/>
    <n v="485"/>
    <n v="119"/>
    <n v="181.5"/>
    <n v="272"/>
  </r>
  <r>
    <n v="406"/>
    <s v="Rámcová dohoda"/>
    <n v="5359822"/>
    <s v="https://crz.gov.sk/zmluva/5359822"/>
    <s v="https://www.crz.gov.sk/data/att/2649193.pdf"/>
    <x v="21"/>
    <s v="Typ: Intel i5-8400,Frekv.: 4.0 GHz,Jadra: 6,Vlakna: 6,Passmark: 9216,Zaruka: neuvedené"/>
    <n v="150"/>
    <n v="5"/>
    <n v="750"/>
    <n v="119"/>
    <n v="181.5"/>
    <n v="272"/>
  </r>
  <r>
    <n v="407"/>
    <s v="Rámcová dohoda"/>
    <n v="5359822"/>
    <s v="https://crz.gov.sk/zmluva/5359822"/>
    <s v="https://www.crz.gov.sk/data/att/2649193.pdf"/>
    <x v="21"/>
    <s v="Typ: Intel i5-8500,Frekv.: 4.1 GHz,Jadra: 6,Vlakna: 6,Passmark: 9576,Zaruka: neuvedené"/>
    <n v="155"/>
    <n v="5"/>
    <n v="775"/>
    <n v="119"/>
    <n v="181.5"/>
    <n v="272"/>
  </r>
  <r>
    <n v="408"/>
    <s v="Rámcová dohoda"/>
    <n v="5359822"/>
    <s v="https://crz.gov.sk/zmluva/5359822"/>
    <s v="https://www.crz.gov.sk/data/att/2649193.pdf"/>
    <x v="21"/>
    <s v="Typ: Intel i5-8600K,Frekv.: 4.3 GHz,Jadra: 6,Vlakna: 6,Passmark: 10327,Zaruka: neuvedené"/>
    <n v="159"/>
    <n v="5"/>
    <n v="795"/>
    <n v="119"/>
    <n v="181.5"/>
    <n v="272"/>
  </r>
  <r>
    <n v="409"/>
    <s v="Rámcová dohoda"/>
    <n v="5359822"/>
    <s v="https://crz.gov.sk/zmluva/5359822"/>
    <s v="https://www.crz.gov.sk/data/att/2649193.pdf"/>
    <x v="21"/>
    <s v="Typ: Intel i7-8700,Frekv.: 3.2 GHz,Jadra: 6,Vlakna: 12,Passmark: 13514,Zaruka: neuvedené"/>
    <n v="210"/>
    <n v="5"/>
    <n v="1050"/>
    <n v="119"/>
    <n v="181.5"/>
    <n v="272"/>
  </r>
  <r>
    <n v="410"/>
    <s v="Rámcová dohoda"/>
    <n v="5359822"/>
    <s v="https://crz.gov.sk/zmluva/5359822"/>
    <s v="https://www.crz.gov.sk/data/att/2649193.pdf"/>
    <x v="21"/>
    <s v="Typ: Intel i7-8700K,Frekv.: 3.7 GHz,Jadra: 6,Vlakna: 12,Passmark: 14103,Zaruka: neuvedené"/>
    <n v="238"/>
    <n v="5"/>
    <n v="1190"/>
    <n v="119"/>
    <n v="181.5"/>
    <n v="272"/>
  </r>
  <r>
    <n v="411"/>
    <s v="Rámcová dohoda"/>
    <n v="5359822"/>
    <s v="https://crz.gov.sk/zmluva/5359822"/>
    <s v="https://www.crz.gov.sk/data/att/2649193.pdf"/>
    <x v="21"/>
    <s v="Typ: Intel i3-9100,Frekv.: 3.6 GHz,Jadra: 4,Vlakna: 4,Passmark: 6901,Zaruka: neuvedené"/>
    <n v="102"/>
    <n v="8"/>
    <n v="816"/>
    <n v="119"/>
    <n v="181.5"/>
    <n v="272"/>
  </r>
  <r>
    <n v="412"/>
    <s v="Rámcová dohoda"/>
    <n v="5359822"/>
    <s v="https://crz.gov.sk/zmluva/5359822"/>
    <s v="https://www.crz.gov.sk/data/att/2649193.pdf"/>
    <x v="21"/>
    <s v="Typ: Intel i5-9500,Frekv.: 3.0 GHz,Jadra: 6,Vlakna: 6,Passmark: 9417,Zaruka: neuvedené"/>
    <n v="168"/>
    <n v="8"/>
    <n v="1344"/>
    <n v="119"/>
    <n v="181.5"/>
    <n v="272"/>
  </r>
  <r>
    <n v="413"/>
    <s v="Rámcová dohoda"/>
    <n v="5359822"/>
    <s v="https://crz.gov.sk/zmluva/5359822"/>
    <s v="https://www.crz.gov.sk/data/att/2649193.pdf"/>
    <x v="21"/>
    <s v="Typ: Intel i5-9400,Frekv.: 2.9 GHz,Jadra: 6,Vlakna: 6,Passmark: 9422,Zaruka: neuvedené"/>
    <n v="138"/>
    <n v="8"/>
    <n v="1104"/>
    <n v="119"/>
    <n v="181.5"/>
    <n v="272"/>
  </r>
  <r>
    <n v="414"/>
    <s v="Rámcová dohoda"/>
    <n v="5359822"/>
    <s v="https://crz.gov.sk/zmluva/5359822"/>
    <s v="https://www.crz.gov.sk/data/att/2649193.pdf"/>
    <x v="21"/>
    <s v="Typ: Intel i5-9600K,Frekv.: 3.7 GHz,Jadra: 6,Vlakna: 6,Passmark: 11262,Zaruka: neuvedené"/>
    <n v="182"/>
    <n v="8"/>
    <n v="1456"/>
    <n v="119"/>
    <n v="181.5"/>
    <n v="272"/>
  </r>
  <r>
    <n v="415"/>
    <s v="Rámcová dohoda"/>
    <n v="5359822"/>
    <s v="https://crz.gov.sk/zmluva/5359822"/>
    <s v="https://www.crz.gov.sk/data/att/2649193.pdf"/>
    <x v="21"/>
    <s v="Typ: Intel i7-9700,Frekv.: 3.0 GHz,Jadra: 8,Vlakna: 8,Passmark: 14556,Zaruka: neuvedené"/>
    <n v="234"/>
    <n v="8"/>
    <n v="1872"/>
    <n v="119"/>
    <n v="181.5"/>
    <n v="272"/>
  </r>
  <r>
    <n v="416"/>
    <s v="Rámcová dohoda"/>
    <n v="5359822"/>
    <s v="https://crz.gov.sk/zmluva/5359822"/>
    <s v="https://www.crz.gov.sk/data/att/2649193.pdf"/>
    <x v="21"/>
    <s v="Typ: Intel i7-9700K,Frekv.: 3.6 GHz,Jadra: 8,Vlakna: 8,Passmark: 14884,Zaruka: neuvedené"/>
    <n v="265"/>
    <n v="8"/>
    <n v="2120"/>
    <n v="119"/>
    <n v="181.5"/>
    <n v="272"/>
  </r>
  <r>
    <n v="417"/>
    <s v="Rámcová dohoda"/>
    <n v="5359822"/>
    <s v="https://crz.gov.sk/zmluva/5359822"/>
    <s v="https://www.crz.gov.sk/data/att/2649193.pdf"/>
    <x v="21"/>
    <s v="Typ: Intel i9-9900,Frekv.: 3.1 GHz,Jadra: 8,Vlakna: 16,Passmark: 17332,Zaruka: neuvedené"/>
    <n v="298"/>
    <n v="8"/>
    <n v="2384"/>
    <n v="119"/>
    <n v="181.5"/>
    <n v="272"/>
  </r>
  <r>
    <n v="418"/>
    <s v="Rámcová dohoda"/>
    <n v="5359822"/>
    <s v="https://crz.gov.sk/zmluva/5359822"/>
    <s v="https://www.crz.gov.sk/data/att/2649193.pdf"/>
    <x v="21"/>
    <s v="Typ: Intel i9-9900K,Frekv.: 3.6 GHz,Jadra: 8,Vlakna: 16,Passmark: 19037,Zaruka: neuvedené"/>
    <n v="335"/>
    <n v="8"/>
    <n v="2680"/>
    <n v="119"/>
    <n v="181.5"/>
    <n v="272"/>
  </r>
  <r>
    <n v="419"/>
    <s v="Rámcová dohoda"/>
    <n v="5359822"/>
    <s v="https://crz.gov.sk/zmluva/5359822"/>
    <s v="https://www.crz.gov.sk/data/att/2649193.pdf"/>
    <x v="21"/>
    <s v="Typ: Intel Pentium G5600,Frekv.: 3.9 GHz,Jadra: 2,Vlakna: 4,Passmark: 3757,Zaruka: neuvedené"/>
    <n v="67.400000000000006"/>
    <n v="2"/>
    <n v="134.80000000000001"/>
    <n v="119"/>
    <n v="181.5"/>
    <n v="272"/>
  </r>
  <r>
    <n v="420"/>
    <s v="Rámcová dohoda"/>
    <n v="5359822"/>
    <s v="https://crz.gov.sk/zmluva/5359822"/>
    <s v="https://www.crz.gov.sk/data/att/2649193.pdf"/>
    <x v="21"/>
    <s v="Typ: Intel Xeon E3-1280 v6,Frekv.: 3.9 GHz,Jadra: 4,Vlakna: 8,Passmark: 8886,Zaruka: neuvedené"/>
    <n v="298"/>
    <n v="2"/>
    <n v="596"/>
    <n v="119"/>
    <n v="181.5"/>
    <n v="272"/>
  </r>
  <r>
    <n v="421"/>
    <s v="Rámcová dohoda"/>
    <n v="5359822"/>
    <s v="https://crz.gov.sk/zmluva/5359822"/>
    <s v="https://www.crz.gov.sk/data/att/2649193.pdf"/>
    <x v="21"/>
    <s v="Typ: Intel Xeon E5-2620 v4,Frekv.: 3.0 GHz,Jadra: 8,Vlakna: 16,Passmark: 8684,Zaruka: neuvedené"/>
    <n v="315"/>
    <n v="2"/>
    <n v="630"/>
    <n v="119"/>
    <n v="181.5"/>
    <n v="272"/>
  </r>
  <r>
    <n v="422"/>
    <s v="Rámcová dohoda"/>
    <n v="5359822"/>
    <s v="https://crz.gov.sk/zmluva/5359822"/>
    <s v="https://www.crz.gov.sk/data/att/2649193.pdf"/>
    <x v="21"/>
    <s v="Typ: AMD Athlon 200GE,Frekv.: 3.2 GHz,Jadra: 2,Vlakna: 4,Passmark: 4262,Zaruka: neuvedené"/>
    <n v="38"/>
    <n v="1"/>
    <n v="38"/>
    <n v="119"/>
    <n v="181.5"/>
    <n v="272"/>
  </r>
  <r>
    <n v="423"/>
    <s v="Rámcová dohoda"/>
    <n v="5359822"/>
    <s v="https://crz.gov.sk/zmluva/5359822"/>
    <s v="https://www.crz.gov.sk/data/att/2649193.pdf"/>
    <x v="21"/>
    <s v="Typ: AMD Athlon 3000G,Frekv.: 3.5 GHz,Jadra: 2,Vlakna: 4,Passmark: 4676,Zaruka: neuvedené"/>
    <n v="47"/>
    <n v="1"/>
    <n v="47"/>
    <n v="119"/>
    <n v="181.5"/>
    <n v="272"/>
  </r>
  <r>
    <n v="424"/>
    <s v="Rámcová dohoda"/>
    <n v="5359822"/>
    <s v="https://crz.gov.sk/zmluva/5359822"/>
    <s v="https://www.crz.gov.sk/data/att/2649193.pdf"/>
    <x v="21"/>
    <s v="Typ: AMD Athlon 240GE,Frekv.: 3.5 GHz,Jadra: 2,Vlakna: 4,Passmark: 4768,Zaruka: neuvedené"/>
    <n v="64"/>
    <n v="1"/>
    <n v="64"/>
    <n v="119"/>
    <n v="181.5"/>
    <n v="272"/>
  </r>
  <r>
    <n v="425"/>
    <s v="Rámcová dohoda"/>
    <n v="5359822"/>
    <s v="https://crz.gov.sk/zmluva/5359822"/>
    <s v="https://www.crz.gov.sk/data/att/2649193.pdf"/>
    <x v="21"/>
    <s v="Typ: AMD Ryzen 3 2200G,Frekv.: 3.5 GHz,Jadra: 4,Vlakna: 4,Passmark: 6823,Zaruka: neuvedené"/>
    <n v="75"/>
    <n v="2"/>
    <n v="150"/>
    <n v="119"/>
    <n v="181.5"/>
    <n v="272"/>
  </r>
  <r>
    <n v="426"/>
    <s v="Rámcová dohoda"/>
    <n v="5359822"/>
    <s v="https://crz.gov.sk/zmluva/5359822"/>
    <s v="https://www.crz.gov.sk/data/att/2649193.pdf"/>
    <x v="21"/>
    <s v="Typ: AMD Ryzen 3 3200G,Frekv.: 3.6 GHz,Jadra: 4,Vlakna: 4,Passmark: 7281,Zaruka: neuvedené"/>
    <n v="72"/>
    <n v="2"/>
    <n v="144"/>
    <n v="119"/>
    <n v="181.5"/>
    <n v="272"/>
  </r>
  <r>
    <n v="427"/>
    <s v="Rámcová dohoda"/>
    <n v="5359822"/>
    <s v="https://crz.gov.sk/zmluva/5359822"/>
    <s v="https://www.crz.gov.sk/data/att/2649193.pdf"/>
    <x v="21"/>
    <s v="Typ: AMD Ryzen 5 2400G,Frekv.: 3.6 GHz,Jadra: 4,Vlakna: 8,Passmark: 9081,Zaruka: neuvedené"/>
    <n v="119"/>
    <n v="2"/>
    <n v="238"/>
    <n v="119"/>
    <n v="181.5"/>
    <n v="272"/>
  </r>
  <r>
    <n v="428"/>
    <s v="Rámcová dohoda"/>
    <n v="5359822"/>
    <s v="https://crz.gov.sk/zmluva/5359822"/>
    <s v="https://www.crz.gov.sk/data/att/2649193.pdf"/>
    <x v="21"/>
    <s v="Typ: AMD Ryzen 5 3400G,Frekv.: 3.7 GHz,Jadra: 4,Vlakna: 8,Passmark: 9558,Zaruka: neuvedené"/>
    <n v="124"/>
    <n v="5"/>
    <n v="620"/>
    <n v="119"/>
    <n v="181.5"/>
    <n v="272"/>
  </r>
  <r>
    <n v="429"/>
    <s v="Rámcová dohoda"/>
    <n v="5359822"/>
    <s v="https://crz.gov.sk/zmluva/5359822"/>
    <s v="https://www.crz.gov.sk/data/att/2649193.pdf"/>
    <x v="21"/>
    <s v="Typ: AMD Ryzen 9 3900X,Frekv.: 3.8 GHz,Jadra: 12,Vlakna: 24,Passmark: 32881,Zaruka: neuvedené"/>
    <n v="395"/>
    <n v="5"/>
    <n v="1975"/>
    <n v="119"/>
    <n v="181.5"/>
    <n v="272"/>
  </r>
  <r>
    <n v="430"/>
    <s v="Rámcová dohoda"/>
    <n v="5359822"/>
    <s v="https://crz.gov.sk/zmluva/5359822"/>
    <s v="https://www.crz.gov.sk/data/att/2649193.pdf"/>
    <x v="21"/>
    <s v="Typ: Intel i9-10900X,Frekv.: 3.7 GHz,Jadra: 10,Vlakna: 20,Passmark: 22349,Zaruka: neuvedené"/>
    <n v="495"/>
    <n v="1"/>
    <n v="495"/>
    <n v="119"/>
    <n v="181.5"/>
    <n v="272"/>
  </r>
  <r>
    <n v="431"/>
    <s v="Rámcová dohoda"/>
    <n v="5359822"/>
    <s v="https://crz.gov.sk/zmluva/5359822"/>
    <s v="https://www.crz.gov.sk/data/att/2649193.pdf"/>
    <x v="21"/>
    <s v="Typ: AMD EPYC Model 7351,Frekv.: 2.4 GHz,Jadra: 16,Vlakna: 32,Passmark: 19180,Zaruka: neuvedené"/>
    <n v="450.08"/>
    <n v="1"/>
    <n v="450.08"/>
    <n v="119"/>
    <n v="181.5"/>
    <n v="272"/>
  </r>
  <r>
    <n v="432"/>
    <s v="Rámcová dohoda"/>
    <n v="5359822"/>
    <s v="https://crz.gov.sk/zmluva/5359822"/>
    <s v="https://www.crz.gov.sk/data/att/2649193.pdf"/>
    <x v="21"/>
    <s v="Typ: Intel i3-10100,Frekv.: 3.6 GHz,Jadra: 4,Vlakna: 8,Passmark: 8986,Zaruka: neuvedené"/>
    <n v="99.5"/>
    <n v="10"/>
    <n v="995"/>
    <n v="119"/>
    <n v="181.5"/>
    <n v="272"/>
  </r>
  <r>
    <n v="433"/>
    <s v="Rámcová dohoda"/>
    <n v="5359822"/>
    <s v="https://crz.gov.sk/zmluva/5359822"/>
    <s v="https://www.crz.gov.sk/data/att/2649193.pdf"/>
    <x v="21"/>
    <s v="Typ: Intel i3-10300,Frekv.: 3.7 GHz,Jadra: 4,Vlakna: 8,Passmark: 9381,Zaruka: neuvedené"/>
    <n v="137"/>
    <n v="10"/>
    <n v="1370"/>
    <n v="119"/>
    <n v="181.5"/>
    <n v="272"/>
  </r>
  <r>
    <n v="434"/>
    <s v="Rámcová dohoda"/>
    <n v="5359822"/>
    <s v="https://crz.gov.sk/zmluva/5359822"/>
    <s v="https://www.crz.gov.sk/data/att/2649193.pdf"/>
    <x v="21"/>
    <s v="Typ: Intel i5-10400F,Frekv.: 2.9 GHz,Jadra: 6,Vlakna: 12,Passmark: 12692,Zaruka: neuvedené"/>
    <n v="139.5"/>
    <n v="10"/>
    <n v="1395"/>
    <n v="119"/>
    <n v="181.5"/>
    <n v="272"/>
  </r>
  <r>
    <n v="435"/>
    <s v="Rámcová dohoda"/>
    <n v="5359822"/>
    <s v="https://crz.gov.sk/zmluva/5359822"/>
    <s v="https://www.crz.gov.sk/data/att/2649193.pdf"/>
    <x v="21"/>
    <s v="Typ: Intel i5-10400,Frekv.: 2.9 GHz,Jadra: 6,Vlakna: 12,Passmark: 12853,Zaruka: neuvedené"/>
    <n v="162"/>
    <n v="10"/>
    <n v="1620"/>
    <n v="119"/>
    <n v="181.5"/>
    <n v="272"/>
  </r>
  <r>
    <n v="436"/>
    <s v="Rámcová dohoda"/>
    <n v="5359822"/>
    <s v="https://crz.gov.sk/zmluva/5359822"/>
    <s v="https://www.crz.gov.sk/data/att/2649193.pdf"/>
    <x v="21"/>
    <s v="Typ: Intel i5-10500,Frekv.: 3.1 GHz,Jadra: 6,Vlakna: 12,Passmark: 13409,Zaruka: neuvedené"/>
    <n v="181.5"/>
    <n v="10"/>
    <n v="1815"/>
    <n v="119"/>
    <n v="181.5"/>
    <n v="272"/>
  </r>
  <r>
    <n v="437"/>
    <s v="Rámcová dohoda"/>
    <n v="5359822"/>
    <s v="https://crz.gov.sk/zmluva/5359822"/>
    <s v="https://www.crz.gov.sk/data/att/2649193.pdf"/>
    <x v="21"/>
    <s v="Typ: Intel i5-10600,Frekv.: 3.3 GHz,Jadra: 6,Vlakna: 12,Passmark: 14209,Zaruka: neuvedené"/>
    <n v="188"/>
    <n v="10"/>
    <n v="1880"/>
    <n v="119"/>
    <n v="181.5"/>
    <n v="272"/>
  </r>
  <r>
    <n v="438"/>
    <s v="Rámcová dohoda"/>
    <n v="5359822"/>
    <s v="https://crz.gov.sk/zmluva/5359822"/>
    <s v="https://www.crz.gov.sk/data/att/2649193.pdf"/>
    <x v="21"/>
    <s v="Typ: Intel i5-10600KF,Frekv.: 4.1 GHz,Jadra: 6,Vlakna: 12,Passmark: 15369,Zaruka: neuvedené"/>
    <n v="180.4"/>
    <n v="10"/>
    <n v="1804"/>
    <n v="119"/>
    <n v="181.5"/>
    <n v="272"/>
  </r>
  <r>
    <n v="439"/>
    <s v="Rámcová dohoda"/>
    <n v="5359822"/>
    <s v="https://crz.gov.sk/zmluva/5359822"/>
    <s v="https://www.crz.gov.sk/data/att/2649193.pdf"/>
    <x v="21"/>
    <s v="Typ: Intel i5-10600K,Frekv.: 4.1 GHz,Jadra: 6,Vlakna: 12,Passmark: 14515,Zaruka: neuvedené"/>
    <n v="187.4"/>
    <n v="10"/>
    <n v="1874"/>
    <n v="119"/>
    <n v="181.5"/>
    <n v="272"/>
  </r>
  <r>
    <n v="440"/>
    <s v="Rámcová dohoda"/>
    <n v="5359822"/>
    <s v="https://crz.gov.sk/zmluva/5359822"/>
    <s v="https://www.crz.gov.sk/data/att/2649193.pdf"/>
    <x v="21"/>
    <s v="Typ: Intel i7-10700F,Frekv.: 2.9 GHz,Jadra: 8,Vlakna: 16,Passmark: 16681,Zaruka: neuvedené"/>
    <n v="235"/>
    <n v="10"/>
    <n v="2350"/>
    <n v="119"/>
    <n v="181.5"/>
    <n v="272"/>
  </r>
  <r>
    <n v="441"/>
    <s v="Rámcová dohoda"/>
    <n v="5359822"/>
    <s v="https://crz.gov.sk/zmluva/5359822"/>
    <s v="https://www.crz.gov.sk/data/att/2649193.pdf"/>
    <x v="21"/>
    <s v="Typ: Intel i7-10700,Frekv.: 2.9 GHz,Jadra: 8,Vlakna: 16,Passmark: 17605,Zaruka: neuvedené"/>
    <n v="257.39999999999998"/>
    <n v="10"/>
    <n v="2574"/>
    <n v="119"/>
    <n v="181.5"/>
    <n v="272"/>
  </r>
  <r>
    <n v="442"/>
    <s v="Rámcová dohoda"/>
    <n v="5359822"/>
    <s v="https://crz.gov.sk/zmluva/5359822"/>
    <s v="https://www.crz.gov.sk/data/att/2649193.pdf"/>
    <x v="21"/>
    <s v="Typ: Intel i7-10700KF,Frekv.: 3.8 GHz,Jadra: 8,Vlakna: 16,Passmark: 19493,Zaruka: neuvedené"/>
    <n v="262.5"/>
    <n v="10"/>
    <n v="2625"/>
    <n v="119"/>
    <n v="181.5"/>
    <n v="272"/>
  </r>
  <r>
    <n v="443"/>
    <s v="Rámcová dohoda"/>
    <n v="5359822"/>
    <s v="https://crz.gov.sk/zmluva/5359822"/>
    <s v="https://www.crz.gov.sk/data/att/2649193.pdf"/>
    <x v="21"/>
    <s v="Typ: Intel i7-10700K,Frekv.: 3.8 GHz,Jadra: 8,Vlakna: 16,Passmark: 19649,Zaruka: neuvedené"/>
    <n v="309"/>
    <n v="10"/>
    <n v="3090"/>
    <n v="119"/>
    <n v="181.5"/>
    <n v="272"/>
  </r>
  <r>
    <n v="444"/>
    <s v="Rámcová dohoda"/>
    <n v="5359822"/>
    <s v="https://crz.gov.sk/zmluva/5359822"/>
    <s v="https://www.crz.gov.sk/data/att/2649193.pdf"/>
    <x v="21"/>
    <s v="Typ: Intel i9-10900F,Frekv.: 2.8 GHz,Jadra: 10,Vlakna: 20,Passmark: 21922,Zaruka: neuvedené"/>
    <n v="337"/>
    <n v="10"/>
    <n v="3370"/>
    <n v="119"/>
    <n v="181.5"/>
    <n v="272"/>
  </r>
  <r>
    <n v="445"/>
    <s v="Rámcová dohoda"/>
    <n v="5359822"/>
    <s v="https://crz.gov.sk/zmluva/5359822"/>
    <s v="https://www.crz.gov.sk/data/att/2649193.pdf"/>
    <x v="21"/>
    <s v="Typ: Intel i9-10900,Frekv.: 2.8 GHz,Jadra: 10,Vlakna: 20,Passmark: 21523,Zaruka: neuvedené"/>
    <n v="354.92"/>
    <n v="10"/>
    <n v="3549.2000000000003"/>
    <n v="119"/>
    <n v="181.5"/>
    <n v="272"/>
  </r>
  <r>
    <n v="446"/>
    <s v="Rámcová dohoda"/>
    <n v="5359822"/>
    <s v="https://crz.gov.sk/zmluva/5359822"/>
    <s v="https://www.crz.gov.sk/data/att/2649193.pdf"/>
    <x v="21"/>
    <s v="Typ: Intel i9-10900KF,Frekv.: 3.7 GHz,Jadra: 10,Vlakna: 20,Passmark: 23704,Zaruka: neuvedené"/>
    <n v="374.05"/>
    <n v="10"/>
    <n v="3740.5"/>
    <n v="119"/>
    <n v="181.5"/>
    <n v="272"/>
  </r>
  <r>
    <n v="447"/>
    <s v="Rámcová dohoda"/>
    <n v="5359822"/>
    <s v="https://crz.gov.sk/zmluva/5359822"/>
    <s v="https://www.crz.gov.sk/data/att/2649193.pdf"/>
    <x v="21"/>
    <s v="Typ: Intel i9-10900K,Frekv.: 3.7 GHz,Jadra: 10,Vlakna: 20,Passmark: 24048,Zaruka: neuvedené"/>
    <n v="395.5"/>
    <n v="10"/>
    <n v="3955"/>
    <n v="119"/>
    <n v="181.5"/>
    <n v="272"/>
  </r>
  <r>
    <n v="448"/>
    <s v="Rámcová dohoda"/>
    <n v="5359822"/>
    <s v="https://crz.gov.sk/zmluva/5359822"/>
    <s v="https://www.crz.gov.sk/data/att/2649193.pdf"/>
    <x v="21"/>
    <s v="Typ: AMD Ryzen 3 3300X,Frekv.: 3.8 GHz,Jadra: 4,Vlakna: 8,Passmark: 12816,Zaruka: neuvedené"/>
    <n v="99"/>
    <n v="3"/>
    <n v="297"/>
    <n v="119"/>
    <n v="181.5"/>
    <n v="272"/>
  </r>
  <r>
    <n v="449"/>
    <s v="Rámcová dohoda"/>
    <n v="5359822"/>
    <s v="https://crz.gov.sk/zmluva/5359822"/>
    <s v="https://www.crz.gov.sk/data/att/2649193.pdf"/>
    <x v="21"/>
    <s v="Typ: AMD Ryzen 5 3600,Frekv.: 3.6 GHz,Jadra: 6,Vlakna: 12,Passmark: 17849,Zaruka: neuvedené"/>
    <n v="178"/>
    <n v="3"/>
    <n v="534"/>
    <n v="119"/>
    <n v="181.5"/>
    <n v="272"/>
  </r>
  <r>
    <n v="450"/>
    <s v="Rámcová dohoda"/>
    <n v="5359822"/>
    <s v="https://crz.gov.sk/zmluva/5359822"/>
    <s v="https://www.crz.gov.sk/data/att/2649193.pdf"/>
    <x v="21"/>
    <s v="Typ: AMD Ryzen 5 3600X,Frekv.: 3.8 GHz,Jadra: 6,Vlakna: 12,Passmark: 18249,Zaruka: neuvedené"/>
    <n v="209"/>
    <n v="3"/>
    <n v="627"/>
    <n v="119"/>
    <n v="181.5"/>
    <n v="272"/>
  </r>
  <r>
    <n v="451"/>
    <s v="Rámcová dohoda"/>
    <n v="5359822"/>
    <s v="https://crz.gov.sk/zmluva/5359822"/>
    <s v="https://www.crz.gov.sk/data/att/2649193.pdf"/>
    <x v="21"/>
    <s v="Typ: AMD Ryzen 5 3600XT,Frekv.: 3.8 GHz,Jadra: 6,Vlakna: 12,Passmark: 19026,Zaruka: neuvedené"/>
    <n v="210"/>
    <n v="3"/>
    <n v="630"/>
    <n v="119"/>
    <n v="181.5"/>
    <n v="272"/>
  </r>
  <r>
    <n v="452"/>
    <s v="Rámcová dohoda"/>
    <n v="5359822"/>
    <s v="https://crz.gov.sk/zmluva/5359822"/>
    <s v="https://www.crz.gov.sk/data/att/2649193.pdf"/>
    <x v="21"/>
    <s v="Typ: AMD Ryzen 7 3700X,Frekv.: 3.6 GHz,Jadra: 8,Vlakna: 16,Passmark: 22781,Zaruka: neuvedené"/>
    <n v="269"/>
    <n v="3"/>
    <n v="807"/>
    <n v="119"/>
    <n v="181.5"/>
    <n v="272"/>
  </r>
  <r>
    <n v="453"/>
    <s v="Rámcová dohoda"/>
    <n v="5359822"/>
    <s v="https://crz.gov.sk/zmluva/5359822"/>
    <s v="https://www.crz.gov.sk/data/att/2649193.pdf"/>
    <x v="21"/>
    <s v="Typ: AMD Ryzen 7 3800X,Frekv.: 3.9 GHz,Jadra: 8,Vlakna: 16,Passmark: 23324,Zaruka: neuvedené"/>
    <n v="275"/>
    <n v="3"/>
    <n v="825"/>
    <n v="119"/>
    <n v="181.5"/>
    <n v="272"/>
  </r>
  <r>
    <n v="454"/>
    <s v="Rámcová dohoda"/>
    <n v="5359822"/>
    <s v="https://crz.gov.sk/zmluva/5359822"/>
    <s v="https://www.crz.gov.sk/data/att/2649193.pdf"/>
    <x v="21"/>
    <s v="Typ: AMD Ryzen 9 3900XT,Frekv.: 3.8 GHz,Jadra: 12,Vlakna: 24,Passmark: 33298,Zaruka: neuvedené"/>
    <n v="412"/>
    <n v="3"/>
    <n v="1236"/>
    <n v="119"/>
    <n v="181.5"/>
    <n v="272"/>
  </r>
  <r>
    <n v="455"/>
    <s v="Rámcová dohoda"/>
    <n v="5359822"/>
    <s v="https://crz.gov.sk/zmluva/5359822"/>
    <s v="https://www.crz.gov.sk/data/att/2649193.pdf"/>
    <x v="21"/>
    <s v="Typ: AMD Ryzen 9 3950X,Frekv.: 3.5 GHz,Jadra: 16,Vlakna: 32,Passmark: 39229,Zaruka: neuvedené"/>
    <n v="595"/>
    <n v="3"/>
    <n v="1785"/>
    <n v="119"/>
    <n v="181.5"/>
    <n v="272"/>
  </r>
  <r>
    <n v="456"/>
    <s v="Rámcová dohoda"/>
    <n v="5359822"/>
    <s v="https://crz.gov.sk/zmluva/5359822"/>
    <s v="https://www.crz.gov.sk/data/att/2649193.pdf"/>
    <x v="22"/>
    <s v="Typ: SilentiumPC Fera 3 HE1224 v2,Patice: 1151, 2011, A4, Hlucnost: 19dB, Zaruka: neuvedené"/>
    <n v="25.2"/>
    <n v="10"/>
    <n v="252"/>
    <n v="25.274999999999999"/>
    <n v="25.35"/>
    <n v="25.425000000000001"/>
  </r>
  <r>
    <n v="457"/>
    <s v="Rámcová dohoda"/>
    <n v="5359822"/>
    <s v="https://crz.gov.sk/zmluva/5359822"/>
    <s v="https://www.crz.gov.sk/data/att/2649193.pdf"/>
    <x v="22"/>
    <s v="Typ: Be quiet! Dard Rock 4,Patice: 2066, Hlucnost: 22dB, Zaruka: neuvedené"/>
    <n v="25.5"/>
    <n v="2"/>
    <n v="51"/>
    <n v="25.274999999999999"/>
    <n v="25.35"/>
    <n v="25.425000000000001"/>
  </r>
  <r>
    <n v="460"/>
    <s v="Rámcová dohoda"/>
    <n v="5359822"/>
    <s v="https://crz.gov.sk/zmluva/5359822"/>
    <s v="https://www.crz.gov.sk/data/att/2649193.pdf"/>
    <x v="17"/>
    <s v="Typ: MSI NVIDIA GT 710 1GD3H,Proc.: Passmark 637,RAM: 1GB GDDR3,Frekv. Jadra/RAM: 954 MHz/1253 MHz,Zbernica: PCIe x16 2.0,Vystupy: VGA, DVI, HDMI,Zaruka: neuvedené"/>
    <n v="33"/>
    <n v="1"/>
    <n v="33"/>
    <n v="47.47"/>
    <n v="86.69"/>
    <n v="146.42500000000001"/>
  </r>
  <r>
    <n v="461"/>
    <s v="Rámcová dohoda"/>
    <n v="5359822"/>
    <s v="https://crz.gov.sk/zmluva/5359822"/>
    <s v="https://www.crz.gov.sk/data/att/2649193.pdf"/>
    <x v="17"/>
    <s v="Typ: PALIT GeForce GT 710 2GB SDDR3,Proc.: Passmark 637,RAM: 2GB DDR3,Frekv. Jadra/RAM: 954 MHz/1253 MHz,Zbernica: PCIe x16 2.0,Vystupy: VGA, DVI, HDMI,Zaruka: neuvedené"/>
    <n v="35"/>
    <n v="1"/>
    <n v="35"/>
    <n v="47.47"/>
    <n v="86.69"/>
    <n v="146.42500000000001"/>
  </r>
  <r>
    <n v="462"/>
    <s v="Rámcová dohoda"/>
    <n v="5359822"/>
    <s v="https://crz.gov.sk/zmluva/5359822"/>
    <s v="https://www.crz.gov.sk/data/att/2649193.pdf"/>
    <x v="17"/>
    <s v="Typ: Gigabyte GV-N1030SL-2GL,Proc.: Passmark 2547,RAM: 2GB GDDR5,Frekv. Jadra/RAM: 1227 MHz/1502 MHz,Zbernica: PCIe x16 3.0,Vystupy: DVI, HDMI,Zaruka: neuvedené"/>
    <n v="62"/>
    <n v="1"/>
    <n v="62"/>
    <n v="47.47"/>
    <n v="86.69"/>
    <n v="146.42500000000001"/>
  </r>
  <r>
    <n v="463"/>
    <s v="Rámcová dohoda"/>
    <n v="5359822"/>
    <s v="https://crz.gov.sk/zmluva/5359822"/>
    <s v="https://www.crz.gov.sk/data/att/2649193.pdf"/>
    <x v="17"/>
    <s v="Typ: Gigabyte GeForce GTX 1060 OC 3GB GDDR5,Proc.: Passmark 9727,RAM: 3GB GDDR5,Frekv. Jadra/RAM: 1556 MHz/2002 MHz,Zbernica: PCIe x16 3.0,Vystupy: DP, DVI, HDMI,Zaruka: neuvedené"/>
    <n v="150"/>
    <n v="1"/>
    <n v="150"/>
    <n v="47.47"/>
    <n v="86.69"/>
    <n v="146.42500000000001"/>
  </r>
  <r>
    <n v="464"/>
    <s v="Rámcová dohoda"/>
    <n v="5359822"/>
    <s v="https://crz.gov.sk/zmluva/5359822"/>
    <s v="https://www.crz.gov.sk/data/att/2649193.pdf"/>
    <x v="17"/>
    <s v="Typ: ASUS EX-RX570-4G 4GB/256-bit GDDR5,Proc.: Passmark 1923,RAM: 4GB GDDR5,Frekv. Jadra/RAM: 1254 MHz/1750 MHz,Zbernica: PCIe x16 3.0,Vystupy: DP, DVI, HDMI,Zaruka: neuvedené"/>
    <n v="105"/>
    <n v="1"/>
    <n v="105"/>
    <n v="47.47"/>
    <n v="86.69"/>
    <n v="146.42500000000001"/>
  </r>
  <r>
    <n v="465"/>
    <s v="Rámcová dohoda"/>
    <n v="5359822"/>
    <s v="https://crz.gov.sk/zmluva/5359822"/>
    <s v="https://www.crz.gov.sk/data/att/2649193.pdf"/>
    <x v="17"/>
    <s v="Typ: j5create JUA350 - externá,Proc.: neuvedený,RAM: neuvedená,Frekv. Jadra/RAM: neuvedená/neuvedená,Zbernica: USB 3.0,Vystupy: HDMI,Zaruka: neuvedené"/>
    <n v="58"/>
    <n v="1"/>
    <n v="58"/>
    <n v="47.47"/>
    <n v="86.69"/>
    <n v="146.42500000000001"/>
  </r>
  <r>
    <n v="466"/>
    <s v="Rámcová dohoda"/>
    <n v="5359822"/>
    <s v="https://crz.gov.sk/zmluva/5359822"/>
    <s v="https://www.crz.gov.sk/data/att/2649193.pdf"/>
    <x v="23"/>
    <s v="Typ: GEMBIRD USB 3.0/1Gbit LAN NIC-U3-02,Rozhranie: USB,Rychlost: 1Gbps,Zaruka: neuvedené"/>
    <n v="10"/>
    <n v="1"/>
    <n v="10"/>
    <n v="9.8249999999999993"/>
    <n v="21.14"/>
    <n v="248.75"/>
  </r>
  <r>
    <n v="467"/>
    <s v="Rámcová dohoda"/>
    <n v="5359822"/>
    <s v="https://crz.gov.sk/zmluva/5359822"/>
    <s v="https://www.crz.gov.sk/data/att/2649193.pdf"/>
    <x v="23"/>
    <s v="Typ: Apple Thunderbolt to Gigabit Ethernet Adapter,Rozhranie: Apple Thunderbolt,Rychlost: 1Gbps,Zaruka: neuvedené"/>
    <n v="28"/>
    <n v="1"/>
    <n v="28"/>
    <n v="9.8249999999999993"/>
    <n v="21.14"/>
    <n v="248.75"/>
  </r>
  <r>
    <n v="468"/>
    <s v="Rámcová dohoda"/>
    <n v="5359822"/>
    <s v="https://crz.gov.sk/zmluva/5359822"/>
    <s v="https://www.crz.gov.sk/data/att/2649193.pdf"/>
    <x v="23"/>
    <s v="Typ: AXAGON ADE-SRC,Rozhranie: USB-C,Rychlost: 1Gbps,Zaruka: neuvedené"/>
    <n v="13"/>
    <n v="1"/>
    <n v="13"/>
    <n v="9.8249999999999993"/>
    <n v="21.14"/>
    <n v="248.75"/>
  </r>
  <r>
    <n v="469"/>
    <s v="Rámcová dohoda"/>
    <n v="5359822"/>
    <s v="https://crz.gov.sk/zmluva/5359822"/>
    <s v="https://www.crz.gov.sk/data/att/2649193.pdf"/>
    <x v="23"/>
    <s v="Typ: TP-LINK TG-3468,Rozhranie: PCIe x1,Rychlost: 1Gbps,Zaruka: neuvedené"/>
    <n v="10"/>
    <n v="1"/>
    <n v="10"/>
    <n v="9.8249999999999993"/>
    <n v="21.14"/>
    <n v="248.75"/>
  </r>
  <r>
    <n v="470"/>
    <s v="Rámcová dohoda"/>
    <n v="5359822"/>
    <s v="https://crz.gov.sk/zmluva/5359822"/>
    <s v="https://www.crz.gov.sk/data/att/2649193.pdf"/>
    <x v="23"/>
    <s v="Typ: Mellanox ConnectX-3 EN network interface card,Rozhranie: PCIe 3.0 x8,Rychlost: 10Gbps,Zaruka: neuvedené"/>
    <n v="240"/>
    <n v="1"/>
    <n v="240"/>
    <n v="9.8249999999999993"/>
    <n v="21.14"/>
    <n v="248.75"/>
  </r>
  <r>
    <n v="471"/>
    <s v="Rámcová dohoda"/>
    <n v="5359822"/>
    <s v="https://crz.gov.sk/zmluva/5359822"/>
    <s v="https://www.crz.gov.sk/data/att/2649193.pdf"/>
    <x v="23"/>
    <s v="Typ: Intel 10 Gigabit X550T2,Rozhranie: PCIe 3.0 x8,Rychlost: 10Gbps,Zaruka: neuvedené"/>
    <n v="275"/>
    <n v="2"/>
    <n v="550"/>
    <n v="9.8249999999999993"/>
    <n v="21.14"/>
    <n v="248.75"/>
  </r>
  <r>
    <n v="472"/>
    <s v="Rámcová dohoda"/>
    <n v="5359822"/>
    <s v="https://crz.gov.sk/zmluva/5359822"/>
    <s v="https://www.crz.gov.sk/data/att/2649193.pdf"/>
    <x v="23"/>
    <s v="Typ: Edimax 32-bit Gigabit LAN Card,Rozhranie: PCI,Rychlost: 1Gbps,Zaruka: neuvedené"/>
    <n v="9"/>
    <n v="1"/>
    <n v="9"/>
    <n v="9.8249999999999993"/>
    <n v="21.14"/>
    <n v="248.75"/>
  </r>
  <r>
    <n v="473"/>
    <s v="Rámcová dohoda"/>
    <n v="5359822"/>
    <s v="https://crz.gov.sk/zmluva/5359822"/>
    <s v="https://www.crz.gov.sk/data/att/2649193.pdf"/>
    <x v="24"/>
    <s v="Typ: CREATIVE Sound Blaster X-Fi Surround 5.1 PRO V3 / 5.1/ USB,Rozhranie: USB 2.0,Kanaly: 5.1,Zaruka: neuvedené"/>
    <n v="44"/>
    <n v="1"/>
    <n v="44"/>
    <n v="30.125"/>
    <n v="34.75"/>
    <n v="39.375"/>
  </r>
  <r>
    <n v="474"/>
    <s v="Rámcová dohoda"/>
    <n v="5359822"/>
    <s v="https://crz.gov.sk/zmluva/5359822"/>
    <s v="https://www.crz.gov.sk/data/att/2649193.pdf"/>
    <x v="24"/>
    <s v="Typ: AXAGON ADA-71, USB2.0 - 7.1 audio SOUNDbox,Rozhranie: USB 2.0,Kanaly: 7.1,Zaruka: neuvedené"/>
    <n v="25.5"/>
    <n v="1"/>
    <n v="25.5"/>
    <n v="30.125"/>
    <n v="34.75"/>
    <n v="39.375"/>
  </r>
  <r>
    <n v="475"/>
    <s v="Rámcová dohoda"/>
    <n v="5359822"/>
    <s v="https://crz.gov.sk/zmluva/5359822"/>
    <s v="https://www.crz.gov.sk/data/att/2649193.pdf"/>
    <x v="25"/>
    <s v="Typ: i-tec PCIe Card USB 3.0 2x External+1x int. 20pin,Rozhranie: PCIe,Porty: 4x USB 3.0,Zaruka: neuvedené"/>
    <n v="12"/>
    <n v="1"/>
    <n v="12"/>
    <n v="12"/>
    <n v="12"/>
    <n v="12"/>
  </r>
  <r>
    <n v="476"/>
    <s v="Rámcová dohoda"/>
    <n v="5359822"/>
    <s v="https://crz.gov.sk/zmluva/5359822"/>
    <s v="https://www.crz.gov.sk/data/att/2649193.pdf"/>
    <x v="16"/>
    <s v="Typ: Patriot SL CL9 8x512,Druh: DIMM,Kapacita: 4GB,Generacia: DDR3,Frekv.: 1333MHz,Zaruka: neuvedené"/>
    <n v="15.5"/>
    <n v="10"/>
    <n v="155"/>
    <n v="22.082500000000003"/>
    <n v="31.15"/>
    <n v="48.125"/>
  </r>
  <r>
    <n v="477"/>
    <s v="Rámcová dohoda"/>
    <n v="5359822"/>
    <s v="https://crz.gov.sk/zmluva/5359822"/>
    <s v="https://www.crz.gov.sk/data/att/2649193.pdf"/>
    <x v="16"/>
    <s v="Typ: Patriot SL CL9 8x512 + chladič,Druh: DIMM,Kapacita: 4GB,Generacia: DDR3,Frekv.: 1333MHz,Zaruka: neuvedené"/>
    <n v="16.2"/>
    <n v="10"/>
    <n v="162"/>
    <n v="22.082500000000003"/>
    <n v="31.15"/>
    <n v="48.125"/>
  </r>
  <r>
    <n v="478"/>
    <s v="Rámcová dohoda"/>
    <n v="5359822"/>
    <s v="https://crz.gov.sk/zmluva/5359822"/>
    <s v="https://www.crz.gov.sk/data/att/2649193.pdf"/>
    <x v="16"/>
    <s v="Typ: Patriot SL CL9,Druh: DIMM,Kapacita: 8GB,Generacia: DDR3,Frekv.: 1333MHz,Zaruka: neuvedené"/>
    <n v="24"/>
    <n v="20"/>
    <n v="480"/>
    <n v="22.082500000000003"/>
    <n v="31.15"/>
    <n v="48.125"/>
  </r>
  <r>
    <n v="479"/>
    <s v="Rámcová dohoda"/>
    <n v="5359822"/>
    <s v="https://crz.gov.sk/zmluva/5359822"/>
    <s v="https://www.crz.gov.sk/data/att/2649193.pdf"/>
    <x v="16"/>
    <s v="Typ: Patriot SL CL9 + chladič,Druh: DIMM,Kapacita: 8GB,Generacia: DDR3,Frekv.: 1333MHz,Zaruka: neuvedené"/>
    <n v="25"/>
    <n v="20"/>
    <n v="500"/>
    <n v="22.082500000000003"/>
    <n v="31.15"/>
    <n v="48.125"/>
  </r>
  <r>
    <n v="480"/>
    <s v="Rámcová dohoda"/>
    <n v="5359822"/>
    <s v="https://crz.gov.sk/zmluva/5359822"/>
    <s v="https://www.crz.gov.sk/data/att/2649193.pdf"/>
    <x v="16"/>
    <s v="Typ: HPE DDR3,Druh: DIMM,Kapacita: 16GB,Generacia: DDR3,Frekv.: 1333MHz,Zaruka: neuvedené"/>
    <n v="39"/>
    <n v="10"/>
    <n v="390"/>
    <n v="22.082500000000003"/>
    <n v="31.15"/>
    <n v="48.125"/>
  </r>
  <r>
    <n v="481"/>
    <s v="Rámcová dohoda"/>
    <n v="5359822"/>
    <s v="https://crz.gov.sk/zmluva/5359822"/>
    <s v="https://www.crz.gov.sk/data/att/2649193.pdf"/>
    <x v="16"/>
    <s v="Typ: Patriot SL CL11 8x512,Druh: DIMM,Kapacita: 4GB,Generacia: DDR3,Frekv.: 1600MHz,Zaruka: neuvedené"/>
    <n v="14.3"/>
    <n v="10"/>
    <n v="143"/>
    <n v="22.082500000000003"/>
    <n v="31.15"/>
    <n v="48.125"/>
  </r>
  <r>
    <n v="482"/>
    <s v="Rámcová dohoda"/>
    <n v="5359822"/>
    <s v="https://crz.gov.sk/zmluva/5359822"/>
    <s v="https://www.crz.gov.sk/data/att/2649193.pdf"/>
    <x v="16"/>
    <s v="Typ: Patriot SL CL11 8x512 + chladič,Druh: DIMM,Kapacita: 4GB,Generacia: DDR3,Frekv.: 1600MHz,Zaruka: neuvedené"/>
    <n v="16"/>
    <n v="10"/>
    <n v="160"/>
    <n v="22.082500000000003"/>
    <n v="31.15"/>
    <n v="48.125"/>
  </r>
  <r>
    <n v="483"/>
    <s v="Rámcová dohoda"/>
    <n v="5359822"/>
    <s v="https://crz.gov.sk/zmluva/5359822"/>
    <s v="https://www.crz.gov.sk/data/att/2649193.pdf"/>
    <x v="16"/>
    <s v="Typ: Apacer CL11,Druh: DIMM,Kapacita: 8GB,Generacia: DDR3,Frekv.: 1600MHz,Zaruka: neuvedené"/>
    <n v="23"/>
    <n v="25"/>
    <n v="575"/>
    <n v="22.082500000000003"/>
    <n v="31.15"/>
    <n v="48.125"/>
  </r>
  <r>
    <n v="484"/>
    <s v="Rámcová dohoda"/>
    <n v="5359822"/>
    <s v="https://crz.gov.sk/zmluva/5359822"/>
    <s v="https://www.crz.gov.sk/data/att/2649193.pdf"/>
    <x v="16"/>
    <s v="Typ: Corsair XMS3 CL11 + chladič,Druh: DIMM,Kapacita: 8GB,Generacia: DDR3,Frekv.: 1600MHz,Zaruka: neuvedené"/>
    <n v="29.8"/>
    <n v="25"/>
    <n v="745"/>
    <n v="22.082500000000003"/>
    <n v="31.15"/>
    <n v="48.125"/>
  </r>
  <r>
    <n v="485"/>
    <s v="Rámcová dohoda"/>
    <n v="5359822"/>
    <s v="https://crz.gov.sk/zmluva/5359822"/>
    <s v="https://www.crz.gov.sk/data/att/2649193.pdf"/>
    <x v="16"/>
    <s v="Typ: Patriot CL9,Druh: DIMM,Kapacita: 8GB,Generacia: DDR3,Frekv.: 1600MHz,Zaruka: neuvedené"/>
    <n v="27"/>
    <n v="25"/>
    <n v="675"/>
    <n v="22.082500000000003"/>
    <n v="31.15"/>
    <n v="48.125"/>
  </r>
  <r>
    <n v="486"/>
    <s v="Rámcová dohoda"/>
    <n v="5359822"/>
    <s v="https://crz.gov.sk/zmluva/5359822"/>
    <s v="https://www.crz.gov.sk/data/att/2649193.pdf"/>
    <x v="16"/>
    <s v="Typ: Patriot CL9 + chladič,Druh: DIMM,Kapacita: 8GB,Generacia: DDR3,Frekv.: 1600MHz,Zaruka: neuvedené"/>
    <n v="27.8"/>
    <n v="25"/>
    <n v="695"/>
    <n v="22.082500000000003"/>
    <n v="31.15"/>
    <n v="48.125"/>
  </r>
  <r>
    <n v="487"/>
    <s v="Rámcová dohoda"/>
    <n v="5359822"/>
    <s v="https://crz.gov.sk/zmluva/5359822"/>
    <s v="https://www.crz.gov.sk/data/att/2649193.pdf"/>
    <x v="16"/>
    <s v="Typ: Adata CL9 2x8GB,Druh: DIMM,Kapacita: 16GB,Generacia: DDR3,Frekv.: 1333MHz,Zaruka: neuvedené"/>
    <n v="50"/>
    <n v="20"/>
    <n v="1000"/>
    <n v="22.082500000000003"/>
    <n v="31.15"/>
    <n v="48.125"/>
  </r>
  <r>
    <n v="488"/>
    <s v="Rámcová dohoda"/>
    <n v="5359822"/>
    <s v="https://crz.gov.sk/zmluva/5359822"/>
    <s v="https://www.crz.gov.sk/data/att/2649193.pdf"/>
    <x v="16"/>
    <s v="Typ: Patriot G2 Division + chladič,Druh: DIMM,Kapacita: 16GB,Generacia: DDR3,Frekv.: 1333MHz,Zaruka: neuvedené"/>
    <n v="47"/>
    <n v="20"/>
    <n v="940"/>
    <n v="22.082500000000003"/>
    <n v="31.15"/>
    <n v="48.125"/>
  </r>
  <r>
    <n v="489"/>
    <s v="Rámcová dohoda"/>
    <n v="5359822"/>
    <s v="https://crz.gov.sk/zmluva/5359822"/>
    <s v="https://www.crz.gov.sk/data/att/2649193.pdf"/>
    <x v="16"/>
    <s v="Typ: Kingston CL9 STD,Druh: DIMM,Kapacita: 32GB,Generacia: DDR3,Frekv.: 1333MHz,Zaruka: neuvedené"/>
    <n v="89.9"/>
    <n v="15"/>
    <n v="1348.5"/>
    <n v="22.082500000000003"/>
    <n v="31.15"/>
    <n v="48.125"/>
  </r>
  <r>
    <n v="490"/>
    <s v="Rámcová dohoda"/>
    <n v="5359822"/>
    <s v="https://crz.gov.sk/zmluva/5359822"/>
    <s v="https://www.crz.gov.sk/data/att/2649193.pdf"/>
    <x v="16"/>
    <s v="Typ: Patriot CL17 SR 512x8,Druh: DIMM,Kapacita: 4GB,Generacia: DDR4,Frekv.: 2400MHz,Zaruka: neuvedené"/>
    <n v="13.4"/>
    <n v="10"/>
    <n v="134"/>
    <n v="22.082500000000003"/>
    <n v="31.15"/>
    <n v="48.125"/>
  </r>
  <r>
    <n v="491"/>
    <s v="Rámcová dohoda"/>
    <n v="5359822"/>
    <s v="https://crz.gov.sk/zmluva/5359822"/>
    <s v="https://www.crz.gov.sk/data/att/2649193.pdf"/>
    <x v="16"/>
    <s v="Typ: Patriot CL17 SR 512x8 + chladič,Druh: DIMM,Kapacita: 4GB,Generacia: DDR4,Frekv.: 2400MHz,Zaruka: neuvedené"/>
    <n v="15.8"/>
    <n v="10"/>
    <n v="158"/>
    <n v="22.082500000000003"/>
    <n v="31.15"/>
    <n v="48.125"/>
  </r>
  <r>
    <n v="492"/>
    <s v="Rámcová dohoda"/>
    <n v="5359822"/>
    <s v="https://crz.gov.sk/zmluva/5359822"/>
    <s v="https://www.crz.gov.sk/data/att/2649193.pdf"/>
    <x v="16"/>
    <s v="Typ: Patriot Signature CL17,Druh: DIMM,Kapacita: 8GB,Generacia: DDR4,Frekv.: 2400MHz,Zaruka: neuvedené"/>
    <n v="25"/>
    <n v="15"/>
    <n v="375"/>
    <n v="22.082500000000003"/>
    <n v="31.15"/>
    <n v="48.125"/>
  </r>
  <r>
    <n v="493"/>
    <s v="Rámcová dohoda"/>
    <n v="5359822"/>
    <s v="https://crz.gov.sk/zmluva/5359822"/>
    <s v="https://www.crz.gov.sk/data/att/2649193.pdf"/>
    <x v="16"/>
    <s v="Typ: Patriot Signature CL17 + chladič,Druh: DIMM,Kapacita: 8GB,Generacia: DDR4,Frekv.: 2400MHz,Zaruka: neuvedené"/>
    <n v="25.5"/>
    <n v="15"/>
    <n v="382.5"/>
    <n v="22.082500000000003"/>
    <n v="31.15"/>
    <n v="48.125"/>
  </r>
  <r>
    <n v="494"/>
    <s v="Rámcová dohoda"/>
    <n v="5359822"/>
    <s v="https://crz.gov.sk/zmluva/5359822"/>
    <s v="https://www.crz.gov.sk/data/att/2649193.pdf"/>
    <x v="16"/>
    <s v="Typ: Transcend 1Rx8 CL19,Druh: DIMM,Kapacita: 16GB,Generacia: DDR4,Frekv.: 2666MHz,Zaruka: neuvedené"/>
    <n v="44"/>
    <n v="10"/>
    <n v="440"/>
    <n v="22.082500000000003"/>
    <n v="31.15"/>
    <n v="48.125"/>
  </r>
  <r>
    <n v="495"/>
    <s v="Rámcová dohoda"/>
    <n v="5359822"/>
    <s v="https://crz.gov.sk/zmluva/5359822"/>
    <s v="https://www.crz.gov.sk/data/att/2649193.pdf"/>
    <x v="16"/>
    <s v="Typ: Patriot CL17 + chladič,Druh: DIMM,Kapacita: 16GB,Generacia: DDR4,Frekv.: 2400MHz,Zaruka: neuvedené"/>
    <n v="46"/>
    <n v="10"/>
    <n v="460"/>
    <n v="22.082500000000003"/>
    <n v="31.15"/>
    <n v="48.125"/>
  </r>
  <r>
    <n v="496"/>
    <s v="Rámcová dohoda"/>
    <n v="5359822"/>
    <s v="https://crz.gov.sk/zmluva/5359822"/>
    <s v="https://www.crz.gov.sk/data/att/2649193.pdf"/>
    <x v="16"/>
    <s v="Typ: Patriot CL17,Druh: DIMM kit,Kapacita: 2x4GB,Generacia: DDR4,Frekv.: 2400MHz,Zaruka: neuvedené"/>
    <n v="27.8"/>
    <n v="8"/>
    <n v="222.4"/>
    <n v="22.082500000000003"/>
    <n v="31.15"/>
    <n v="48.125"/>
  </r>
  <r>
    <n v="497"/>
    <s v="Rámcová dohoda"/>
    <n v="5359822"/>
    <s v="https://crz.gov.sk/zmluva/5359822"/>
    <s v="https://www.crz.gov.sk/data/att/2649193.pdf"/>
    <x v="16"/>
    <s v="Typ: Patriot CL17 + chladič,Druh: DIMM kit,Kapacita: 2x4GB,Generacia: DDR4,Frekv.: 2666MHz,Zaruka: neuvedené"/>
    <n v="32.5"/>
    <n v="8"/>
    <n v="260"/>
    <n v="22.082500000000003"/>
    <n v="31.15"/>
    <n v="48.125"/>
  </r>
  <r>
    <n v="498"/>
    <s v="Rámcová dohoda"/>
    <n v="5359822"/>
    <s v="https://crz.gov.sk/zmluva/5359822"/>
    <s v="https://www.crz.gov.sk/data/att/2649193.pdf"/>
    <x v="16"/>
    <s v="Typ: Patriot Signature CL17,Druh: DIMM kit,Kapacita: 2x8GB,Generacia: DDR4,Frekv.: 2400MHz,Zaruka: neuvedené"/>
    <n v="48.5"/>
    <n v="10"/>
    <n v="485"/>
    <n v="22.082500000000003"/>
    <n v="31.15"/>
    <n v="48.125"/>
  </r>
  <r>
    <n v="499"/>
    <s v="Rámcová dohoda"/>
    <n v="5359822"/>
    <s v="https://crz.gov.sk/zmluva/5359822"/>
    <s v="https://www.crz.gov.sk/data/att/2649193.pdf"/>
    <x v="16"/>
    <s v="Typ: Patriot CL17 + chladič,Druh: DIMM kit,Kapacita: 2x8GB,Generacia: DDR4,Frekv.: 2400MHz,Zaruka: neuvedené"/>
    <n v="52.9"/>
    <n v="10"/>
    <n v="529"/>
    <n v="22.082500000000003"/>
    <n v="31.15"/>
    <n v="48.125"/>
  </r>
  <r>
    <n v="500"/>
    <s v="Rámcová dohoda"/>
    <n v="5359822"/>
    <s v="https://crz.gov.sk/zmluva/5359822"/>
    <s v="https://www.crz.gov.sk/data/att/2649193.pdf"/>
    <x v="16"/>
    <s v="Typ: Adata XPG Gammix D10 CL16 + chladič,Druh: DIMM kit,Kapacita: 2x16GB,Generacia: DDR4,Frekv.: 2666MHz,Zaruka: neuvedené"/>
    <n v="95.5"/>
    <n v="10"/>
    <n v="955"/>
    <n v="22.082500000000003"/>
    <n v="31.15"/>
    <n v="48.125"/>
  </r>
  <r>
    <n v="501"/>
    <s v="Rámcová dohoda"/>
    <n v="5359822"/>
    <s v="https://crz.gov.sk/zmluva/5359822"/>
    <s v="https://www.crz.gov.sk/data/att/2649193.pdf"/>
    <x v="16"/>
    <s v="Typ: Patriot V4S CL16 + chladič,Druh: DIMM kit,Kapacita: 2x32GB,Generacia: DDR4,Frekv.: 3000MHz,Zaruka: neuvedené"/>
    <n v="178"/>
    <n v="10"/>
    <n v="1780"/>
    <n v="22.082500000000003"/>
    <n v="31.15"/>
    <n v="48.125"/>
  </r>
  <r>
    <n v="502"/>
    <s v="Rámcová dohoda"/>
    <n v="5359822"/>
    <s v="https://crz.gov.sk/zmluva/5359822"/>
    <s v="https://www.crz.gov.sk/data/att/2649193.pdf"/>
    <x v="16"/>
    <s v="Typ: Silicon Power CL11,Druh: SO-DIMM,Kapacita: 4GB,Generacia: DDR3,Frekv.: 1600MHz,Zaruka: neuvedené"/>
    <n v="15"/>
    <n v="8"/>
    <n v="120"/>
    <n v="22.082500000000003"/>
    <n v="31.15"/>
    <n v="48.125"/>
  </r>
  <r>
    <n v="503"/>
    <s v="Rámcová dohoda"/>
    <n v="5359822"/>
    <s v="https://crz.gov.sk/zmluva/5359822"/>
    <s v="https://www.crz.gov.sk/data/att/2649193.pdf"/>
    <x v="16"/>
    <s v="Typ: Patriot CL9,Druh: SO-DIMM,Kapacita: 8GB,Generacia: DDR3,Frekv.: 1600MHz,Zaruka: neuvedené"/>
    <n v="34.5"/>
    <n v="10"/>
    <n v="345"/>
    <n v="22.082500000000003"/>
    <n v="31.15"/>
    <n v="48.125"/>
  </r>
  <r>
    <n v="504"/>
    <s v="Rámcová dohoda"/>
    <n v="5359822"/>
    <s v="https://crz.gov.sk/zmluva/5359822"/>
    <s v="https://www.crz.gov.sk/data/att/2649193.pdf"/>
    <x v="16"/>
    <s v="Typ: Crucial CL11,Druh: SO-DIMM,Kapacita: 16GB,Generacia: DDR3,Frekv.: 1600MHz,Zaruka: neuvedené"/>
    <n v="90"/>
    <n v="15"/>
    <n v="1350"/>
    <n v="22.082500000000003"/>
    <n v="31.15"/>
    <n v="48.125"/>
  </r>
  <r>
    <n v="505"/>
    <s v="Rámcová dohoda"/>
    <n v="5359822"/>
    <s v="https://crz.gov.sk/zmluva/5359822"/>
    <s v="https://www.crz.gov.sk/data/att/2649193.pdf"/>
    <x v="16"/>
    <s v="Typ: Kingston CL9 SRx8,Druh: SO-DIMM kit,Kapacita: 2x4GB,Generacia: DDR3,Frekv.: 1333MHz,Zaruka: neuvedené"/>
    <n v="35.200000000000003"/>
    <n v="5"/>
    <n v="176"/>
    <n v="22.082500000000003"/>
    <n v="31.15"/>
    <n v="48.125"/>
  </r>
  <r>
    <n v="506"/>
    <s v="Rámcová dohoda"/>
    <n v="5359822"/>
    <s v="https://crz.gov.sk/zmluva/5359822"/>
    <s v="https://www.crz.gov.sk/data/att/2649193.pdf"/>
    <x v="16"/>
    <s v="Typ: Kingston CL11,Druh: SO-DIMM kit,Kapacita: 2x8GB,Generacia: DDR3,Frekv.: 1600MHz,Zaruka: neuvedené"/>
    <n v="65"/>
    <n v="15"/>
    <n v="975"/>
    <n v="22.082500000000003"/>
    <n v="31.15"/>
    <n v="48.125"/>
  </r>
  <r>
    <n v="507"/>
    <s v="Rámcová dohoda"/>
    <n v="5359822"/>
    <s v="https://crz.gov.sk/zmluva/5359822"/>
    <s v="https://www.crz.gov.sk/data/att/2649193.pdf"/>
    <x v="16"/>
    <s v="Typ: Kingston HyperC FURY CL10,Druh: SO-DIMM kit,Kapacita: 2x8GB,Generacia: DDR3,Frekv.: 1600MHz,Zaruka: neuvedené"/>
    <n v="62"/>
    <n v="10"/>
    <n v="620"/>
    <n v="22.082500000000003"/>
    <n v="31.15"/>
    <n v="48.125"/>
  </r>
  <r>
    <n v="508"/>
    <s v="Rámcová dohoda"/>
    <n v="5359822"/>
    <s v="https://crz.gov.sk/zmluva/5359822"/>
    <s v="https://www.crz.gov.sk/data/att/2649193.pdf"/>
    <x v="16"/>
    <s v="Typ: Patriot CL17,Druh: SO-DIMM,Kapacita: 4GB,Generacia: DDR4,Frekv.: 2400MHz,Zaruka: neuvedené"/>
    <n v="14.4"/>
    <n v="15"/>
    <n v="216"/>
    <n v="22.082500000000003"/>
    <n v="31.15"/>
    <n v="48.125"/>
  </r>
  <r>
    <n v="509"/>
    <s v="Rámcová dohoda"/>
    <n v="5359822"/>
    <s v="https://crz.gov.sk/zmluva/5359822"/>
    <s v="https://www.crz.gov.sk/data/att/2649193.pdf"/>
    <x v="16"/>
    <s v="Typ: Patriot CL17,Druh: SO-DIMM,Kapacita: 8GB,Generacia: DDR4,Frekv.: 2400MHz,Zaruka: neuvedené"/>
    <n v="23.4"/>
    <n v="20"/>
    <n v="468"/>
    <n v="22.082500000000003"/>
    <n v="31.15"/>
    <n v="48.125"/>
  </r>
  <r>
    <n v="510"/>
    <s v="Rámcová dohoda"/>
    <n v="5359822"/>
    <s v="https://crz.gov.sk/zmluva/5359822"/>
    <s v="https://www.crz.gov.sk/data/att/2649193.pdf"/>
    <x v="16"/>
    <s v="Typ: Adata CL19,Druh: SO-DIMM,Kapacita: 16GB,Generacia: DDR4,Frekv.: 2666MHz,Zaruka: neuvedené"/>
    <n v="44"/>
    <n v="25"/>
    <n v="1100"/>
    <n v="22.082500000000003"/>
    <n v="31.15"/>
    <n v="48.125"/>
  </r>
  <r>
    <n v="511"/>
    <s v="Rámcová dohoda"/>
    <n v="5359822"/>
    <s v="https://crz.gov.sk/zmluva/5359822"/>
    <s v="https://www.crz.gov.sk/data/att/2649193.pdf"/>
    <x v="16"/>
    <s v="Typ: Kingston HyperX Imp.,Druh: SO-DIMM kit,Kapacita: 2x4GB,Generacia: DDR4,Frekv.: 2400MHz,Zaruka: neuvedené"/>
    <n v="32"/>
    <n v="15"/>
    <n v="480"/>
    <n v="22.082500000000003"/>
    <n v="31.15"/>
    <n v="48.125"/>
  </r>
  <r>
    <n v="512"/>
    <s v="Rámcová dohoda"/>
    <n v="5359822"/>
    <s v="https://crz.gov.sk/zmluva/5359822"/>
    <s v="https://www.crz.gov.sk/data/att/2649193.pdf"/>
    <x v="16"/>
    <s v="Typ: Crucial MICRON,Druh: SO-DIMM kit,Kapacita: 2x8GB,Generacia: DDR4,Frekv.: 2666MHz,Zaruka: neuvedené"/>
    <n v="48"/>
    <n v="5"/>
    <n v="240"/>
    <n v="22.082500000000003"/>
    <n v="31.15"/>
    <n v="48.125"/>
  </r>
  <r>
    <n v="513"/>
    <s v="Rámcová dohoda"/>
    <n v="5359822"/>
    <s v="https://crz.gov.sk/zmluva/5359822"/>
    <s v="https://www.crz.gov.sk/data/att/2649193.pdf"/>
    <x v="16"/>
    <s v="Typ: Crucial MICRON,Druh: SO-DIMM kit,Kapacita: 2x16GB,Generacia: DDR4,Frekv.: 2666MHz,Zaruka: neuvedené"/>
    <n v="95"/>
    <n v="5"/>
    <n v="475"/>
    <n v="22.082500000000003"/>
    <n v="31.15"/>
    <n v="48.125"/>
  </r>
  <r>
    <n v="514"/>
    <s v="Rámcová dohoda"/>
    <n v="5359822"/>
    <s v="https://crz.gov.sk/zmluva/5359822"/>
    <s v="https://www.crz.gov.sk/data/att/2649193.pdf"/>
    <x v="26"/>
    <s v="Typ: Crucial Server DRx4 ECC,Druh: Server DIMM,Kapacita: 32GB,Generacia: DDR4,Frekv.: 2933MHz,Zaruka: neuvedené"/>
    <n v="189"/>
    <n v="10"/>
    <n v="1890"/>
    <n v="279"/>
    <n v="358.2"/>
    <n v="705"/>
  </r>
  <r>
    <n v="515"/>
    <s v="Rámcová dohoda"/>
    <n v="5359822"/>
    <s v="https://crz.gov.sk/zmluva/5359822"/>
    <s v="https://www.crz.gov.sk/data/att/2649193.pdf"/>
    <x v="14"/>
    <s v="Typ: Verbatim Vi550,Vyhot.: interný,Kapacita: 128GB,Rozmer: 2,5&quot;,Druh: SSD,Rozhranie: SATA 6Gb/s,Cache: bez,Zaruka: neuvedené"/>
    <n v="19.8"/>
    <n v="7"/>
    <n v="138.6"/>
    <n v="55.5"/>
    <n v="91.88"/>
    <n v="148.36000000000001"/>
  </r>
  <r>
    <n v="516"/>
    <s v="Rámcová dohoda"/>
    <n v="5359822"/>
    <s v="https://crz.gov.sk/zmluva/5359822"/>
    <s v="https://www.crz.gov.sk/data/att/2649193.pdf"/>
    <x v="14"/>
    <s v="Typ: Apacer AS350 Panther,Vyhot.: interný,Kapacita: 120GB,Rozmer: 2,5&quot;,Druh: SSD,Rozhranie: SATA 6Gb/s,Cache: bez,Zaruka: neuvedené"/>
    <n v="23.15"/>
    <n v="7"/>
    <n v="162.04999999999998"/>
    <n v="55.5"/>
    <n v="91.88"/>
    <n v="148.36000000000001"/>
  </r>
  <r>
    <n v="517"/>
    <s v="Rámcová dohoda"/>
    <n v="5359822"/>
    <s v="https://crz.gov.sk/zmluva/5359822"/>
    <s v="https://www.crz.gov.sk/data/att/2649193.pdf"/>
    <x v="14"/>
    <s v="Typ: Samsung 560 EVO,Vyhot.: interný,Kapacita: 250GB,Rozmer: 2,5&quot;,Druh: SSD,Rozhranie: SATA 6Gb/s,Cache: bez,Zaruka: neuvedené"/>
    <n v="36.5"/>
    <n v="25"/>
    <n v="912.5"/>
    <n v="55.5"/>
    <n v="91.88"/>
    <n v="148.36000000000001"/>
  </r>
  <r>
    <n v="518"/>
    <s v="Rámcová dohoda"/>
    <n v="5359822"/>
    <s v="https://crz.gov.sk/zmluva/5359822"/>
    <s v="https://www.crz.gov.sk/data/att/2649193.pdf"/>
    <x v="14"/>
    <s v="Typ: Adata SU800,Vyhot.: interný,Kapacita: 256GB,Rozmer: 2,5&quot;,Druh: SSD,Rozhranie: SATA 6Gb/s,Cache: bez,Zaruka: neuvedené"/>
    <n v="35.5"/>
    <n v="25"/>
    <n v="887.5"/>
    <n v="55.5"/>
    <n v="91.88"/>
    <n v="148.36000000000001"/>
  </r>
  <r>
    <n v="519"/>
    <s v="Rámcová dohoda"/>
    <n v="5359822"/>
    <s v="https://crz.gov.sk/zmluva/5359822"/>
    <s v="https://www.crz.gov.sk/data/att/2649193.pdf"/>
    <x v="14"/>
    <s v="Typ: Apacer AS350 Panther,Vyhot.: interný,Kapacita: 256GB,Rozmer: 2,5&quot;,Druh: SSD,Rozhranie: SATA 6Gb/s,Cache: bez,Zaruka: neuvedené"/>
    <n v="30.9"/>
    <n v="25"/>
    <n v="772.5"/>
    <n v="55.5"/>
    <n v="91.88"/>
    <n v="148.36000000000001"/>
  </r>
  <r>
    <n v="520"/>
    <s v="Rámcová dohoda"/>
    <n v="5359822"/>
    <s v="https://crz.gov.sk/zmluva/5359822"/>
    <s v="https://www.crz.gov.sk/data/att/2649193.pdf"/>
    <x v="14"/>
    <s v="Typ: Samsung 860 PRO EVO,Vyhot.: interný,Kapacita: 250GB,Rozmer: 2,5&quot;,Druh: SSD,Rozhranie: SATA 6Gb/s,Cache: bez,Zaruka: neuvedené"/>
    <n v="69"/>
    <n v="25"/>
    <n v="1725"/>
    <n v="55.5"/>
    <n v="91.88"/>
    <n v="148.36000000000001"/>
  </r>
  <r>
    <n v="521"/>
    <s v="Rámcová dohoda"/>
    <n v="5359822"/>
    <s v="https://crz.gov.sk/zmluva/5359822"/>
    <s v="https://www.crz.gov.sk/data/att/2649193.pdf"/>
    <x v="14"/>
    <s v="Typ: Seagate Barracuda,Vyhot.: interný,Kapacita: 500GB,Rozmer: 2,5&quot;,Druh: SSD,Rozhranie: SATA 6Gb/s,Cache: bez,Zaruka: neuvedené"/>
    <n v="57"/>
    <n v="15"/>
    <n v="855"/>
    <n v="55.5"/>
    <n v="91.88"/>
    <n v="148.36000000000001"/>
  </r>
  <r>
    <n v="522"/>
    <s v="Rámcová dohoda"/>
    <n v="5359822"/>
    <s v="https://crz.gov.sk/zmluva/5359822"/>
    <s v="https://www.crz.gov.sk/data/att/2649193.pdf"/>
    <x v="14"/>
    <s v="Typ: Adata SU800,Vyhot.: interný,Kapacita: 512GB,Rozmer: 2,5&quot;,Druh: SSD,Rozhranie: SATA 6Gb/s,Cache: bez,Zaruka: neuvedené"/>
    <n v="59"/>
    <n v="15"/>
    <n v="885"/>
    <n v="55.5"/>
    <n v="91.88"/>
    <n v="148.36000000000001"/>
  </r>
  <r>
    <n v="523"/>
    <s v="Rámcová dohoda"/>
    <n v="5359822"/>
    <s v="https://crz.gov.sk/zmluva/5359822"/>
    <s v="https://www.crz.gov.sk/data/att/2649193.pdf"/>
    <x v="14"/>
    <s v="Typ: Adata SU900,Vyhot.: interný,Kapacita: 512GB,Rozmer: 2,5&quot;,Druh: SSD,Rozhranie: SATA 6Gb/s,Cache: bez,Zaruka: neuvedené"/>
    <n v="65"/>
    <n v="15"/>
    <n v="975"/>
    <n v="55.5"/>
    <n v="91.88"/>
    <n v="148.36000000000001"/>
  </r>
  <r>
    <n v="524"/>
    <s v="Rámcová dohoda"/>
    <n v="5359822"/>
    <s v="https://crz.gov.sk/zmluva/5359822"/>
    <s v="https://www.crz.gov.sk/data/att/2649193.pdf"/>
    <x v="14"/>
    <s v="Typ: Samsung 860 EVO PRO,Vyhot.: interný,Kapacita: 512GB,Rozmer: 2,5&quot;,Druh: SSD,Rozhranie: SATA 6Gb/s,Cache: bez,Zaruka: neuvedené"/>
    <n v="89"/>
    <n v="15"/>
    <n v="1335"/>
    <n v="55.5"/>
    <n v="91.88"/>
    <n v="148.36000000000001"/>
  </r>
  <r>
    <n v="525"/>
    <s v="Rámcová dohoda"/>
    <n v="5359822"/>
    <s v="https://crz.gov.sk/zmluva/5359822"/>
    <s v="https://www.crz.gov.sk/data/att/2649193.pdf"/>
    <x v="14"/>
    <s v="Typ: Apacer AS350 Panther,Vyhot.: interný,Kapacita: 512GB,Rozmer: 2,5&quot;,Druh: SSD,Rozhranie: SATA 6Gb/s,Cache: bez,Zaruka: neuvedené"/>
    <n v="49"/>
    <n v="15"/>
    <n v="735"/>
    <n v="55.5"/>
    <n v="91.88"/>
    <n v="148.36000000000001"/>
  </r>
  <r>
    <n v="526"/>
    <s v="Rámcová dohoda"/>
    <n v="5359822"/>
    <s v="https://crz.gov.sk/zmluva/5359822"/>
    <s v="https://www.crz.gov.sk/data/att/2649193.pdf"/>
    <x v="14"/>
    <s v="Typ: Samsung 860 EVO Series,Vyhot.: interný,Kapacita: 1TB,Rozmer: 2,5&quot;,Druh: SSD,Rozhranie: SATA 6Gb/s,Cache: bez,Zaruka: neuvedené"/>
    <n v="115"/>
    <n v="15"/>
    <n v="1725"/>
    <n v="55.5"/>
    <n v="91.88"/>
    <n v="148.36000000000001"/>
  </r>
  <r>
    <n v="527"/>
    <s v="Rámcová dohoda"/>
    <n v="5359822"/>
    <s v="https://crz.gov.sk/zmluva/5359822"/>
    <s v="https://www.crz.gov.sk/data/att/2649193.pdf"/>
    <x v="14"/>
    <s v="Typ: Adata SU800,Vyhot.: interný,Kapacita: 1TB,Rozmer: 2,5&quot;,Druh: SSD,Rozhranie: SATA 6Gb/s,Cache: bez,Zaruka: neuvedené"/>
    <n v="102"/>
    <n v="15"/>
    <n v="1530"/>
    <n v="55.5"/>
    <n v="91.88"/>
    <n v="148.36000000000001"/>
  </r>
  <r>
    <n v="528"/>
    <s v="Rámcová dohoda"/>
    <n v="5359822"/>
    <s v="https://crz.gov.sk/zmluva/5359822"/>
    <s v="https://www.crz.gov.sk/data/att/2649193.pdf"/>
    <x v="14"/>
    <s v="Typ: WD Red SA500 NAS SSD NAND,Vyhot.: interný,Kapacita: 1TB,Rozmer: 2,5&quot;,Druh: SSD,Rozhranie: SATA 6Gb/s,Cache: bez,Zaruka: neuvedené"/>
    <n v="98"/>
    <n v="15"/>
    <n v="1470"/>
    <n v="55.5"/>
    <n v="91.88"/>
    <n v="148.36000000000001"/>
  </r>
  <r>
    <n v="529"/>
    <s v="Rámcová dohoda"/>
    <n v="5359822"/>
    <s v="https://crz.gov.sk/zmluva/5359822"/>
    <s v="https://www.crz.gov.sk/data/att/2649193.pdf"/>
    <x v="14"/>
    <s v="Typ: Apacer AS350 Panther,Vyhot.: interný,Kapacita: 1TB,Rozmer: 2,5&quot;,Druh: SSD,Rozhranie: SATA 6Gb/s,Cache: bez,Zaruka: neuvedené"/>
    <n v="84"/>
    <n v="15"/>
    <n v="1260"/>
    <n v="55.5"/>
    <n v="91.88"/>
    <n v="148.36000000000001"/>
  </r>
  <r>
    <n v="530"/>
    <s v="Rámcová dohoda"/>
    <n v="5359822"/>
    <s v="https://crz.gov.sk/zmluva/5359822"/>
    <s v="https://www.crz.gov.sk/data/att/2649193.pdf"/>
    <x v="14"/>
    <s v="Typ: Seagate Barracuda,Vyhot.: interný,Kapacita: 500GB,Rozmer: 3,5&quot;,Druh: HDD7200,Rozhranie: SATA 6Gb/s,Cache: 32MB,Zaruka: neuvedené"/>
    <n v="37"/>
    <n v="8"/>
    <n v="296"/>
    <n v="55.5"/>
    <n v="91.88"/>
    <n v="148.36000000000001"/>
  </r>
  <r>
    <n v="531"/>
    <s v="Rámcová dohoda"/>
    <n v="5359822"/>
    <s v="https://crz.gov.sk/zmluva/5359822"/>
    <s v="https://www.crz.gov.sk/data/att/2649193.pdf"/>
    <x v="14"/>
    <s v="Typ: Toshiba Desktop P300,Vyhot.: interný,Kapacita: 500GB,Rozmer: 3,5&quot;,Druh: HDD7200,Rozhranie: SATA 6Gb/s,Cache: 64MB,Zaruka: neuvedené"/>
    <n v="30"/>
    <n v="8"/>
    <n v="240"/>
    <n v="55.5"/>
    <n v="91.88"/>
    <n v="148.36000000000001"/>
  </r>
  <r>
    <n v="532"/>
    <s v="Rámcová dohoda"/>
    <n v="5359822"/>
    <s v="https://crz.gov.sk/zmluva/5359822"/>
    <s v="https://www.crz.gov.sk/data/att/2649193.pdf"/>
    <x v="14"/>
    <s v="Typ: WD Caviar Black,Vyhot.: interný,Kapacita: 500GB,Rozmer: 3,5&quot;,Druh: HDD7200,Rozhranie: SATA 6Gb/s,Cache: 64MB,Zaruka: neuvedené"/>
    <n v="59"/>
    <n v="8"/>
    <n v="472"/>
    <n v="55.5"/>
    <n v="91.88"/>
    <n v="148.36000000000001"/>
  </r>
  <r>
    <n v="533"/>
    <s v="Rámcová dohoda"/>
    <n v="5359822"/>
    <s v="https://crz.gov.sk/zmluva/5359822"/>
    <s v="https://www.crz.gov.sk/data/att/2649193.pdf"/>
    <x v="14"/>
    <s v="Typ: WD Blue,Vyhot.: interný,Kapacita: 500GB,Rozmer: 3,5&quot;,Druh: HDD5400,Rozhranie: SATA 6Gb/s,Cache: 64MB,Zaruka: neuvedené"/>
    <n v="39"/>
    <n v="8"/>
    <n v="312"/>
    <n v="55.5"/>
    <n v="91.88"/>
    <n v="148.36000000000001"/>
  </r>
  <r>
    <n v="534"/>
    <s v="Rámcová dohoda"/>
    <n v="5359822"/>
    <s v="https://crz.gov.sk/zmluva/5359822"/>
    <s v="https://www.crz.gov.sk/data/att/2649193.pdf"/>
    <x v="14"/>
    <s v="Typ: Toshiba Desktop P300,Vyhot.: interný,Kapacita: 1TB,Rozmer: 3,5&quot;,Druh: HDD7200,Rozhranie: SATA 6Gb/s,Cache: 64MB,Zaruka: neuvedené"/>
    <n v="34"/>
    <n v="10"/>
    <n v="340"/>
    <n v="55.5"/>
    <n v="91.88"/>
    <n v="148.36000000000001"/>
  </r>
  <r>
    <n v="535"/>
    <s v="Rámcová dohoda"/>
    <n v="5359822"/>
    <s v="https://crz.gov.sk/zmluva/5359822"/>
    <s v="https://www.crz.gov.sk/data/att/2649193.pdf"/>
    <x v="14"/>
    <s v="Typ: Seagate Barracuda,Vyhot.: interný,Kapacita: 1TB,Rozmer: 3,5&quot;,Druh: HDD7200,Rozhranie: SATA 6Gb/s,Cache: 64MB,Zaruka: neuvedené"/>
    <n v="38.5"/>
    <n v="10"/>
    <n v="385"/>
    <n v="55.5"/>
    <n v="91.88"/>
    <n v="148.36000000000001"/>
  </r>
  <r>
    <n v="536"/>
    <s v="Rámcová dohoda"/>
    <n v="5359822"/>
    <s v="https://crz.gov.sk/zmluva/5359822"/>
    <s v="https://www.crz.gov.sk/data/att/2649193.pdf"/>
    <x v="14"/>
    <s v="Typ: WD Blue,Vyhot.: interný,Kapacita: 1TB,Rozmer: 3,5&quot;,Druh: HDD7200,Rozhranie: SATA 6Gb/s,Cache: 64MB,Zaruka: neuvedené"/>
    <n v="38"/>
    <n v="10"/>
    <n v="380"/>
    <n v="55.5"/>
    <n v="91.88"/>
    <n v="148.36000000000001"/>
  </r>
  <r>
    <n v="537"/>
    <s v="Rámcová dohoda"/>
    <n v="5359822"/>
    <s v="https://crz.gov.sk/zmluva/5359822"/>
    <s v="https://www.crz.gov.sk/data/att/2649193.pdf"/>
    <x v="14"/>
    <s v="Typ: WD Blue,Vyhot.: interný,Kapacita: 1TB,Rozmer: 3,5&quot;,Druh: HDD5400,Rozhranie: SATA 6Gb/s,Cache: 64MB,Zaruka: neuvedené"/>
    <n v="37"/>
    <n v="10"/>
    <n v="370"/>
    <n v="55.5"/>
    <n v="91.88"/>
    <n v="148.36000000000001"/>
  </r>
  <r>
    <n v="538"/>
    <s v="Rámcová dohoda"/>
    <n v="5359822"/>
    <s v="https://crz.gov.sk/zmluva/5359822"/>
    <s v="https://www.crz.gov.sk/data/att/2649193.pdf"/>
    <x v="14"/>
    <s v="Typ: WD Purple,Vyhot.: interný,Kapacita: 2TB,Rozmer: 3,5&quot;,Druh: HDD5400,Rozhranie: SATA 6Gb/s,Cache: 64MB,Zaruka: neuvedené"/>
    <n v="62"/>
    <n v="5"/>
    <n v="310"/>
    <n v="55.5"/>
    <n v="91.88"/>
    <n v="148.36000000000001"/>
  </r>
  <r>
    <n v="539"/>
    <s v="Rámcová dohoda"/>
    <n v="5359822"/>
    <s v="https://crz.gov.sk/zmluva/5359822"/>
    <s v="https://www.crz.gov.sk/data/att/2649193.pdf"/>
    <x v="14"/>
    <s v="Typ: Toshiba Desktop P300,Vyhot.: interný,Kapacita: 2TB,Rozmer: 3,5&quot;,Druh: HDD7200,Rozhranie: SATA 6Gb/s,Cache: 64MB,Zaruka: neuvedené"/>
    <n v="54.5"/>
    <n v="5"/>
    <n v="272.5"/>
    <n v="55.5"/>
    <n v="91.88"/>
    <n v="148.36000000000001"/>
  </r>
  <r>
    <n v="540"/>
    <s v="Rámcová dohoda"/>
    <n v="5359822"/>
    <s v="https://crz.gov.sk/zmluva/5359822"/>
    <s v="https://www.crz.gov.sk/data/att/2649193.pdf"/>
    <x v="14"/>
    <s v="Typ: WD Gold,Vyhot.: interný,Kapacita: 2TB,Rozmer: 3,5&quot;,Druh: HDD7200,Rozhranie: SATA 6Gb/s,Cache: 128MB,Zaruka: neuvedené"/>
    <n v="94"/>
    <n v="5"/>
    <n v="470"/>
    <n v="55.5"/>
    <n v="91.88"/>
    <n v="148.36000000000001"/>
  </r>
  <r>
    <n v="541"/>
    <s v="Rámcová dohoda"/>
    <n v="5359822"/>
    <s v="https://crz.gov.sk/zmluva/5359822"/>
    <s v="https://www.crz.gov.sk/data/att/2649193.pdf"/>
    <x v="14"/>
    <s v="Typ: Seagate Barracuda,Vyhot.: interný,Kapacita: 2TB,Rozmer: 3,5&quot;,Druh: HDD7200,Rozhranie: SATA 6Gb/s,Cache: 256MB,Zaruka: neuvedené"/>
    <n v="53"/>
    <n v="5"/>
    <n v="265"/>
    <n v="55.5"/>
    <n v="91.88"/>
    <n v="148.36000000000001"/>
  </r>
  <r>
    <n v="542"/>
    <s v="Rámcová dohoda"/>
    <n v="5359822"/>
    <s v="https://crz.gov.sk/zmluva/5359822"/>
    <s v="https://www.crz.gov.sk/data/att/2649193.pdf"/>
    <x v="14"/>
    <s v="Typ: WD Purple,Vyhot.: interný,Kapacita: 6TB,Rozmer: 3,5&quot;,Druh: HDD5400,Rozhranie: SATA 6Gb/s,Cache: 64MB,Zaruka: neuvedené"/>
    <n v="149"/>
    <n v="5"/>
    <n v="745"/>
    <n v="55.5"/>
    <n v="91.88"/>
    <n v="148.36000000000001"/>
  </r>
  <r>
    <n v="543"/>
    <s v="Rámcová dohoda"/>
    <n v="5359822"/>
    <s v="https://crz.gov.sk/zmluva/5359822"/>
    <s v="https://www.crz.gov.sk/data/att/2649193.pdf"/>
    <x v="14"/>
    <s v="Typ: Seagate Barracuda,Vyhot.: interný,Kapacita: 6TB,Rozmer: 3,5&quot;,Druh: HDD5400,Rozhranie: SATA 6Gb/s,Cache: 256MB,Zaruka: neuvedené"/>
    <n v="138"/>
    <n v="5"/>
    <n v="690"/>
    <n v="55.5"/>
    <n v="91.88"/>
    <n v="148.36000000000001"/>
  </r>
  <r>
    <n v="544"/>
    <s v="Rámcová dohoda"/>
    <n v="5359822"/>
    <s v="https://crz.gov.sk/zmluva/5359822"/>
    <s v="https://www.crz.gov.sk/data/att/2649193.pdf"/>
    <x v="14"/>
    <s v="Typ: WD Purple,Vyhot.: interný,Kapacita: 10TB,Rozmer: 3,5&quot;,Druh: HDD5400,Rozhranie: SATA 6Gb/s,Cache: 256MB,Zaruka: neuvedené"/>
    <n v="265"/>
    <n v="5"/>
    <n v="1325"/>
    <n v="55.5"/>
    <n v="91.88"/>
    <n v="148.36000000000001"/>
  </r>
  <r>
    <n v="545"/>
    <s v="Rámcová dohoda"/>
    <n v="5359822"/>
    <s v="https://crz.gov.sk/zmluva/5359822"/>
    <s v="https://www.crz.gov.sk/data/att/2649193.pdf"/>
    <x v="14"/>
    <s v="Typ: Transcend MTE510T,Vyhot.: interný,Kapacita: 128GB,Rozmer: karta,Druh: SSD,Rozhranie: NVMe,Cache: bez,Zaruka: neuvedené"/>
    <n v="37.5"/>
    <n v="25"/>
    <n v="937.5"/>
    <n v="55.5"/>
    <n v="91.88"/>
    <n v="148.36000000000001"/>
  </r>
  <r>
    <n v="546"/>
    <s v="Rámcová dohoda"/>
    <n v="5359822"/>
    <s v="https://crz.gov.sk/zmluva/5359822"/>
    <s v="https://www.crz.gov.sk/data/att/2649193.pdf"/>
    <x v="14"/>
    <s v="Typ: Samsung 970 EVO Plus,Vyhot.: interný,Kapacita: 250GB,Rozmer: karta,Druh: SSD,Rozhranie: NVMe,Cache: bez,Zaruka: neuvedené"/>
    <n v="54"/>
    <n v="25"/>
    <n v="1350"/>
    <n v="55.5"/>
    <n v="91.88"/>
    <n v="148.36000000000001"/>
  </r>
  <r>
    <n v="547"/>
    <s v="Rámcová dohoda"/>
    <n v="5359822"/>
    <s v="https://crz.gov.sk/zmluva/5359822"/>
    <s v="https://www.crz.gov.sk/data/att/2649193.pdf"/>
    <x v="14"/>
    <s v="Typ: Adata XPG SX8200 PRO,Vyhot.: interný,Kapacita: 512GB,Rozmer: karta,Druh: SSD,Rozhranie: NVMe,Cache: bez,Zaruka: neuvedené"/>
    <n v="44"/>
    <n v="26"/>
    <n v="1144"/>
    <n v="55.5"/>
    <n v="91.88"/>
    <n v="148.36000000000001"/>
  </r>
  <r>
    <n v="548"/>
    <s v="Rámcová dohoda"/>
    <n v="5359822"/>
    <s v="https://crz.gov.sk/zmluva/5359822"/>
    <s v="https://www.crz.gov.sk/data/att/2649193.pdf"/>
    <x v="14"/>
    <s v="Typ: WD Blue NAND WDS100T2BOB,Vyhot.: interný,Kapacita: 1TB,Rozmer: karta,Druh: SSD,Rozhranie: NVMe,Cache: bez,Zaruka: neuvedené"/>
    <n v="97.2"/>
    <n v="1"/>
    <n v="97.2"/>
    <n v="55.5"/>
    <n v="91.88"/>
    <n v="148.36000000000001"/>
  </r>
  <r>
    <n v="549"/>
    <s v="Rámcová dohoda"/>
    <n v="5359822"/>
    <s v="https://crz.gov.sk/zmluva/5359822"/>
    <s v="https://www.crz.gov.sk/data/att/2649193.pdf"/>
    <x v="14"/>
    <s v="Typ: Samsung 860 EVO,Vyhot.: interný,Kapacita: 2TB,Rozmer: karta,Druh: SSD,Rozhranie: NVMe,Cache: bez,Zaruka: neuvedené"/>
    <n v="249"/>
    <n v="1"/>
    <n v="249"/>
    <n v="55.5"/>
    <n v="91.88"/>
    <n v="148.36000000000001"/>
  </r>
  <r>
    <n v="550"/>
    <s v="Rámcová dohoda"/>
    <n v="5359822"/>
    <s v="https://crz.gov.sk/zmluva/5359822"/>
    <s v="https://www.crz.gov.sk/data/att/2649193.pdf"/>
    <x v="14"/>
    <s v="Typ: Kingston UV500,Vyhot.: interný,Kapacita: 120GB,Rozmer: karta,Druh: SSD,Rozhranie: mSATA,Cache: bez,Zaruka: neuvedené"/>
    <n v="28.5"/>
    <n v="1"/>
    <n v="28.5"/>
    <n v="55.5"/>
    <n v="91.88"/>
    <n v="148.36000000000001"/>
  </r>
  <r>
    <n v="551"/>
    <s v="Rámcová dohoda"/>
    <n v="5359822"/>
    <s v="https://crz.gov.sk/zmluva/5359822"/>
    <s v="https://www.crz.gov.sk/data/att/2649193.pdf"/>
    <x v="14"/>
    <s v="Typ: Transcend MSA370,Vyhot.: interný,Kapacita: 256GB,Rozmer: karta,Druh: SSD,Rozhranie: mSATA,Cache: bez,Zaruka: neuvedené"/>
    <n v="37"/>
    <n v="1"/>
    <n v="37"/>
    <n v="55.5"/>
    <n v="91.88"/>
    <n v="148.36000000000001"/>
  </r>
  <r>
    <n v="552"/>
    <s v="Rámcová dohoda"/>
    <n v="5359822"/>
    <s v="https://crz.gov.sk/zmluva/5359822"/>
    <s v="https://www.crz.gov.sk/data/att/2649193.pdf"/>
    <x v="14"/>
    <s v="Typ: Kingston UV500,Vyhot.: interný,Kapacita: 480GB,Rozmer: karta,Druh: SSD,Rozhranie: mSATA,Cache: bez,Zaruka: neuvedené"/>
    <n v="66.400000000000006"/>
    <n v="1"/>
    <n v="66.400000000000006"/>
    <n v="55.5"/>
    <n v="91.88"/>
    <n v="148.36000000000001"/>
  </r>
  <r>
    <n v="553"/>
    <s v="Rámcová dohoda"/>
    <n v="5359822"/>
    <s v="https://crz.gov.sk/zmluva/5359822"/>
    <s v="https://www.crz.gov.sk/data/att/2649193.pdf"/>
    <x v="14"/>
    <s v="Typ: Verbatim Store'n Go,Vyhot.: externý,Kapacita: 500GB,Rozmer: 2.5&quot;,Druh: HDD,Rozhranie: USB 3.0,Cache: neuvedené,Zaruka: neuvedené"/>
    <n v="38.4"/>
    <n v="1"/>
    <n v="38.4"/>
    <n v="55.5"/>
    <n v="91.88"/>
    <n v="148.36000000000001"/>
  </r>
  <r>
    <n v="554"/>
    <s v="Rámcová dohoda"/>
    <n v="5359822"/>
    <s v="https://crz.gov.sk/zmluva/5359822"/>
    <s v="https://www.crz.gov.sk/data/att/2649193.pdf"/>
    <x v="14"/>
    <s v="Typ: WD Elements Portable,Vyhot.: externý,Kapacita: 1TB,Rozmer: 2.5&quot;,Druh: HDD,Rozhranie: USB 3.0,Cache: neuvedené,Zaruka: neuvedené"/>
    <n v="39.799999999999997"/>
    <n v="1"/>
    <n v="39.799999999999997"/>
    <n v="55.5"/>
    <n v="91.88"/>
    <n v="148.36000000000001"/>
  </r>
  <r>
    <n v="555"/>
    <s v="Rámcová dohoda"/>
    <n v="5359822"/>
    <s v="https://crz.gov.sk/zmluva/5359822"/>
    <s v="https://www.crz.gov.sk/data/att/2649193.pdf"/>
    <x v="14"/>
    <s v="Typ: Seagate Basic,Vyhot.: externý,Kapacita: 1TB,Rozmer: 2.5&quot;,Druh: HDD,Rozhranie: USB 3.0,Cache: neuvedené,Zaruka: neuvedené"/>
    <n v="43.3"/>
    <n v="1"/>
    <n v="43.3"/>
    <n v="55.5"/>
    <n v="91.88"/>
    <n v="148.36000000000001"/>
  </r>
  <r>
    <n v="556"/>
    <s v="Rámcová dohoda"/>
    <n v="5359822"/>
    <s v="https://crz.gov.sk/zmluva/5359822"/>
    <s v="https://www.crz.gov.sk/data/att/2649193.pdf"/>
    <x v="14"/>
    <s v="Typ: Seagate Basic,Vyhot.: externý,Kapacita: 2TB,Rozmer: 2.5&quot;,Druh: HDD,Rozhranie: USB 3.0,Cache: neuvedené,Zaruka: neuvedené"/>
    <n v="57"/>
    <n v="1"/>
    <n v="57"/>
    <n v="55.5"/>
    <n v="91.88"/>
    <n v="148.36000000000001"/>
  </r>
  <r>
    <n v="557"/>
    <s v="Rámcová dohoda"/>
    <n v="5359822"/>
    <s v="https://crz.gov.sk/zmluva/5359822"/>
    <s v="https://www.crz.gov.sk/data/att/2649193.pdf"/>
    <x v="14"/>
    <s v="Typ: Intenso MemoryCenter,Vyhot.: externý,Kapacita: 2TB,Rozmer: 3.5&quot;,Druh: HDD,Rozhranie: USB 3.0,Cache: neuvedené,Zaruka: neuvedené"/>
    <n v="61.4"/>
    <n v="1"/>
    <n v="61.4"/>
    <n v="55.5"/>
    <n v="91.88"/>
    <n v="148.36000000000001"/>
  </r>
  <r>
    <n v="558"/>
    <s v="Rámcová dohoda"/>
    <n v="5359822"/>
    <s v="https://crz.gov.sk/zmluva/5359822"/>
    <s v="https://www.crz.gov.sk/data/att/2649193.pdf"/>
    <x v="14"/>
    <s v="Typ: Seagate Expansion Desktop,Vyhot.: externý,Kapacita: 4TB,Rozmer: 3.5&quot;,Druh: HDD,Rozhranie: USB 3.0,Cache: neuvedené,Zaruka: neuvedené"/>
    <n v="82"/>
    <n v="1"/>
    <n v="82"/>
    <n v="55.5"/>
    <n v="91.88"/>
    <n v="148.36000000000001"/>
  </r>
  <r>
    <n v="559"/>
    <s v="Rámcová dohoda"/>
    <n v="5359822"/>
    <s v="https://crz.gov.sk/zmluva/5359822"/>
    <s v="https://www.crz.gov.sk/data/att/2649193.pdf"/>
    <x v="14"/>
    <s v="Typ: Seagate Backup Plus Hub,Vyhot.: externý,Kapacita: 6TB,Rozmer: 3.5&quot;,Druh: HDD,Rozhranie: USB 3.0,Cache: neuvedené,Zaruka: neuvedené"/>
    <n v="109"/>
    <n v="1"/>
    <n v="109"/>
    <n v="55.5"/>
    <n v="91.88"/>
    <n v="148.36000000000001"/>
  </r>
  <r>
    <n v="560"/>
    <s v="Rámcová dohoda"/>
    <n v="5359822"/>
    <s v="https://crz.gov.sk/zmluva/5359822"/>
    <s v="https://www.crz.gov.sk/data/att/2649193.pdf"/>
    <x v="9"/>
    <s v="Typ: Synology DiskStation DS1019+,Technol.: SATA,Radic: RAID0-10,Cache: 8GB RAM,Disky: bez,Porty: 5x SATA 2x NVMe 1xeSATA,Vyhotovenie: na stôl,2x1Gb LAN,vzdialený prístup, Zaruka: neuvedené"/>
    <n v="598"/>
    <n v="1"/>
    <n v="598"/>
    <n v="2032"/>
    <n v="19360"/>
    <n v="87628.37"/>
  </r>
  <r>
    <n v="561"/>
    <s v="Rámcová dohoda"/>
    <n v="5359822"/>
    <s v="https://crz.gov.sk/zmluva/5359822"/>
    <s v="https://www.crz.gov.sk/data/att/2649193.pdf"/>
    <x v="9"/>
    <s v="Typ: Synology DiskStation DS918+,Technol.: SATA,Radic: RAID0-10,Cache: 4GB RAM,Disky: bez,Porty: 4x SATA 1xeSATA,Vyhotovenie: na stôl,2x1Gb LAN,vzdialený prístup, Zaruka: neuvedené"/>
    <n v="482"/>
    <n v="1"/>
    <n v="482"/>
    <n v="2032"/>
    <n v="19360"/>
    <n v="87628.37"/>
  </r>
  <r>
    <n v="562"/>
    <s v="Rámcová dohoda"/>
    <n v="5359822"/>
    <s v="https://crz.gov.sk/zmluva/5359822"/>
    <s v="https://www.crz.gov.sk/data/att/2649193.pdf"/>
    <x v="9"/>
    <s v="Typ: Synology DiskStation DS220+,Technol.: SATA,Radic: RAID 0+1,Cache: 2GB RAM,Disky: bez,Porty: 2x SATA,Vyhotovenie: na stôl,2x1Gb LAN,vzdialený prístup, Zaruka: neuvedené"/>
    <n v="290"/>
    <n v="1"/>
    <n v="290"/>
    <n v="2032"/>
    <n v="19360"/>
    <n v="87628.37"/>
  </r>
  <r>
    <n v="563"/>
    <s v="Rámcová dohoda"/>
    <n v="5359822"/>
    <s v="https://crz.gov.sk/zmluva/5359822"/>
    <s v="https://www.crz.gov.sk/data/att/2649193.pdf"/>
    <x v="14"/>
    <s v="Typ: Seagate IronWolf,Vyhot.: interný,Kapacita: 4TB,Rozmer: 3,5&quot;,Druh: HDD5900,Rozhranie: SATA 6Gb/s,Cache: 64MB,Zaruka: neuvedené"/>
    <n v="97"/>
    <n v="1"/>
    <n v="97"/>
    <n v="55.5"/>
    <n v="91.88"/>
    <n v="148.36000000000001"/>
  </r>
  <r>
    <n v="564"/>
    <s v="Rámcová dohoda"/>
    <n v="5359822"/>
    <s v="https://crz.gov.sk/zmluva/5359822"/>
    <s v="https://www.crz.gov.sk/data/att/2649193.pdf"/>
    <x v="14"/>
    <s v="Typ: Seagate IronWolf,Vyhot.: interný,Kapacita: 4TB,Rozmer: 3,5&quot;,Druh: HDD7200,Rozhranie: SATA 6Gb/s,Cache: 128MB,Zaruka: neuvedené"/>
    <n v="119"/>
    <n v="1"/>
    <n v="119"/>
    <n v="55.5"/>
    <n v="91.88"/>
    <n v="148.36000000000001"/>
  </r>
  <r>
    <n v="565"/>
    <s v="Rámcová dohoda"/>
    <n v="5359822"/>
    <s v="https://crz.gov.sk/zmluva/5359822"/>
    <s v="https://www.crz.gov.sk/data/att/2649193.pdf"/>
    <x v="14"/>
    <s v="Typ: Seagate IronWolf,Vyhot.: interný,Kapacita: 8TB,Rozmer: 3,5&quot;,Druh: HDD7200,Rozhranie: SATA 6Gb/s,Cache: 256MB,Zaruka: neuvedené"/>
    <n v="203"/>
    <n v="1"/>
    <n v="203"/>
    <n v="55.5"/>
    <n v="91.88"/>
    <n v="148.36000000000001"/>
  </r>
  <r>
    <n v="566"/>
    <s v="Rámcová dohoda"/>
    <n v="5359822"/>
    <s v="https://crz.gov.sk/zmluva/5359822"/>
    <s v="https://www.crz.gov.sk/data/att/2649193.pdf"/>
    <x v="14"/>
    <s v="Typ: Seagate IronWolf 5RZ,Vyhot.: interný,Kapacita: 8TB,Rozmer: 3,5&quot;,Druh: HDD7200,Rozhranie: SATA 6Gb/s,Cache: 256MB,Zaruka: neuvedené"/>
    <n v="239"/>
    <n v="1"/>
    <n v="239"/>
    <n v="55.5"/>
    <n v="91.88"/>
    <n v="148.36000000000001"/>
  </r>
  <r>
    <n v="567"/>
    <s v="Rámcová dohoda"/>
    <n v="5359822"/>
    <s v="https://crz.gov.sk/zmluva/5359822"/>
    <s v="https://www.crz.gov.sk/data/att/2649193.pdf"/>
    <x v="15"/>
    <s v="Typ: Fortron HEXA+,Vyhot.: ATX,Vykon: 400W,Zaruka: neuvedené"/>
    <n v="36"/>
    <n v="10"/>
    <n v="360"/>
    <n v="35.864999999999995"/>
    <n v="54.65"/>
    <n v="66.5"/>
  </r>
  <r>
    <n v="568"/>
    <s v="Rámcová dohoda"/>
    <n v="5359822"/>
    <s v="https://crz.gov.sk/zmluva/5359822"/>
    <s v="https://www.crz.gov.sk/data/att/2649193.pdf"/>
    <x v="15"/>
    <s v="Typ: Seasonic SS-400ET 80+ Bronze,Vyhot.: ATX,Vykon: 400W,Zaruka: neuvedené"/>
    <n v="38"/>
    <n v="10"/>
    <n v="380"/>
    <n v="35.864999999999995"/>
    <n v="54.65"/>
    <n v="66.5"/>
  </r>
  <r>
    <n v="569"/>
    <s v="Rámcová dohoda"/>
    <n v="5359822"/>
    <s v="https://crz.gov.sk/zmluva/5359822"/>
    <s v="https://www.crz.gov.sk/data/att/2649193.pdf"/>
    <x v="15"/>
    <s v="Typ: Seasonic SSP-450RT 80+ Gold,Vyhot.: ATX,Vykon: 450W,Zaruka: neuvedené"/>
    <n v="60"/>
    <n v="10"/>
    <n v="600"/>
    <n v="35.864999999999995"/>
    <n v="54.65"/>
    <n v="66.5"/>
  </r>
  <r>
    <n v="570"/>
    <s v="Rámcová dohoda"/>
    <n v="5359822"/>
    <s v="https://crz.gov.sk/zmluva/5359822"/>
    <s v="https://www.crz.gov.sk/data/att/2649193.pdf"/>
    <x v="15"/>
    <s v="Typ: Fortron HYPER M,Vyhot.: ATX,Vykon: 500W,Zaruka: neuvedené"/>
    <n v="47"/>
    <n v="25"/>
    <n v="1175"/>
    <n v="35.864999999999995"/>
    <n v="54.65"/>
    <n v="66.5"/>
  </r>
  <r>
    <n v="571"/>
    <s v="Rámcová dohoda"/>
    <n v="5359822"/>
    <s v="https://crz.gov.sk/zmluva/5359822"/>
    <s v="https://www.crz.gov.sk/data/att/2649193.pdf"/>
    <x v="15"/>
    <s v="Typ: Seasonic M12II Evo (SS-520GM2 F3) 80+ Bronze,Vyhot.: ATX,Vykon: 520W,Zaruka: neuvedené"/>
    <n v="60"/>
    <n v="25"/>
    <n v="1500"/>
    <n v="35.864999999999995"/>
    <n v="54.65"/>
    <n v="66.5"/>
  </r>
  <r>
    <n v="572"/>
    <s v="Rámcová dohoda"/>
    <n v="5359822"/>
    <s v="https://crz.gov.sk/zmluva/5359822"/>
    <s v="https://www.crz.gov.sk/data/att/2649193.pdf"/>
    <x v="15"/>
    <s v="Typ: Fortron Aurum S,Vyhot.: ATX,Vykon: 700W,Zaruka: neuvedené"/>
    <n v="65"/>
    <n v="20"/>
    <n v="1300"/>
    <n v="35.864999999999995"/>
    <n v="54.65"/>
    <n v="66.5"/>
  </r>
  <r>
    <n v="573"/>
    <s v="Rámcová dohoda"/>
    <n v="5359822"/>
    <s v="https://crz.gov.sk/zmluva/5359822"/>
    <s v="https://www.crz.gov.sk/data/att/2649193.pdf"/>
    <x v="15"/>
    <s v="Typ: Gigabyte 80Plus Gold Modular,Vyhot.: ATX,Vykon: 750W,Zaruka: neuvedené"/>
    <n v="68"/>
    <n v="25"/>
    <n v="1700"/>
    <n v="35.864999999999995"/>
    <n v="54.65"/>
    <n v="66.5"/>
  </r>
  <r>
    <n v="574"/>
    <s v="Rámcová dohoda"/>
    <n v="5359822"/>
    <s v="https://crz.gov.sk/zmluva/5359822"/>
    <s v="https://www.crz.gov.sk/data/att/2649193.pdf"/>
    <x v="27"/>
    <s v="Typ: SilentiumPC MidT Armis AR1 Pure Black,Vyhot.: midtower,Porty: 2x USB 3.0 1x Audio 1x Mic,Zdroj: bez,Zaruka: neuvedené"/>
    <n v="22.4"/>
    <n v="25"/>
    <n v="560"/>
    <n v="23.924999999999997"/>
    <n v="25.45"/>
    <n v="26.975000000000001"/>
  </r>
  <r>
    <n v="575"/>
    <s v="Rámcová dohoda"/>
    <n v="5359822"/>
    <s v="https://crz.gov.sk/zmluva/5359822"/>
    <s v="https://www.crz.gov.sk/data/att/2649193.pdf"/>
    <x v="27"/>
    <s v="Typ: Zalman Case Miditower Z1,Vyhot.: midtower,Porty: 2x USB 3.0 1x Audio 1x Mic,Zdroj: bez,Zaruka: neuvedené"/>
    <n v="28.5"/>
    <n v="25"/>
    <n v="712.5"/>
    <n v="23.924999999999997"/>
    <n v="25.45"/>
    <n v="26.975000000000001"/>
  </r>
  <r>
    <n v="576"/>
    <s v="Rámcová dohoda"/>
    <n v="5359822"/>
    <s v="https://crz.gov.sk/zmluva/5359822"/>
    <s v="https://www.crz.gov.sk/data/att/2649193.pdf"/>
    <x v="28"/>
    <s v="Typ: Remax PPP-34,Kapacita: 10000 mAh,Zaruka: neuvedené"/>
    <n v="9.8000000000000007"/>
    <n v="2"/>
    <n v="19.600000000000001"/>
    <n v="11.272500000000001"/>
    <n v="12.745000000000001"/>
    <n v="14.217499999999999"/>
  </r>
  <r>
    <n v="577"/>
    <s v="Rámcová dohoda"/>
    <n v="5359822"/>
    <s v="https://crz.gov.sk/zmluva/5359822"/>
    <s v="https://www.crz.gov.sk/data/att/2649193.pdf"/>
    <x v="29"/>
    <s v="Typ: Gembird NPA-AC1,Vykon: 90W,Zaruka: neuvedené"/>
    <n v="19"/>
    <n v="2"/>
    <n v="38"/>
    <n v="19"/>
    <n v="19"/>
    <n v="19"/>
  </r>
  <r>
    <n v="578"/>
    <s v="Rámcová dohoda"/>
    <n v="5359822"/>
    <s v="https://crz.gov.sk/zmluva/5359822"/>
    <s v="https://www.crz.gov.sk/data/att/2649193.pdf"/>
    <x v="30"/>
    <s v="Typ: LG GH24NSC0,Vyhot.: interná,Media: CD,CD-R,CD-RW,DVD,DVD-RW,DVD-R+,DVD-R-,Rychlost: 24x,Rozhranie: SATA,Zaruka: neuvedené"/>
    <n v="13"/>
    <n v="25"/>
    <n v="325"/>
    <n v="14.8"/>
    <n v="19.5"/>
    <n v="31.25"/>
  </r>
  <r>
    <n v="579"/>
    <s v="Rámcová dohoda"/>
    <n v="5359822"/>
    <s v="https://crz.gov.sk/zmluva/5359822"/>
    <s v="https://www.crz.gov.sk/data/att/2649193.pdf"/>
    <x v="30"/>
    <s v="Typ: Asus DRW-24D5MT,Vyhot.: interná,Media: CD,CD-R,CD-RW,DVD,DVD-RW,DVD-R+,DVD-R-,M-DISC,Rychlost: 24x,Rozhranie: SATA,Zaruka: neuvedené"/>
    <n v="14"/>
    <n v="25"/>
    <n v="350"/>
    <n v="14.8"/>
    <n v="19.5"/>
    <n v="31.25"/>
  </r>
  <r>
    <n v="580"/>
    <s v="Rámcová dohoda"/>
    <n v="5359822"/>
    <s v="https://crz.gov.sk/zmluva/5359822"/>
    <s v="https://www.crz.gov.sk/data/att/2649193.pdf"/>
    <x v="30"/>
    <s v="Typ: Asus BLURAY BC-12D2HT/BLK/B/AS,Vyhot.: interná,Media: BlueRay,CD,CD-R,CD-RW,DVD,DVD-RW,DVD-R+,DVD-R-,M-DISC,Rychlost: 24xDVD/12xBlueRay,Rozhranie: SATA,Zaruka: neuvedené"/>
    <n v="57"/>
    <n v="25"/>
    <n v="1425"/>
    <n v="14.8"/>
    <n v="19.5"/>
    <n v="31.25"/>
  </r>
  <r>
    <n v="581"/>
    <s v="Rámcová dohoda"/>
    <n v="5359822"/>
    <s v="https://crz.gov.sk/zmluva/5359822"/>
    <s v="https://www.crz.gov.sk/data/att/2649193.pdf"/>
    <x v="30"/>
    <s v="Typ: Gembird DVD-RW,Vyhot.: externá,Media: CD,CD-R,CD-RW,DVD,DVD-RW,DVD-R+,DVD-R-,Rychlost: 24x,Rozhranie: USB,Zaruka: neuvedené"/>
    <n v="20"/>
    <n v="10"/>
    <n v="200"/>
    <n v="14.8"/>
    <n v="19.5"/>
    <n v="31.25"/>
  </r>
  <r>
    <n v="582"/>
    <s v="Rámcová dohoda"/>
    <n v="5359822"/>
    <s v="https://crz.gov.sk/zmluva/5359822"/>
    <s v="https://www.crz.gov.sk/data/att/2649193.pdf"/>
    <x v="31"/>
    <s v="Typ: Solarix,Vyhot,: bal. 305m,Spec.: CAT5e UTP,Zaruka: neuvedené"/>
    <n v="58"/>
    <n v="2"/>
    <n v="116"/>
    <n v="89.477499999999992"/>
    <n v="121"/>
    <n v="139.9025"/>
  </r>
  <r>
    <n v="583"/>
    <s v="Rámcová dohoda"/>
    <n v="5359822"/>
    <s v="https://crz.gov.sk/zmluva/5359822"/>
    <s v="https://www.crz.gov.sk/data/att/2649193.pdf"/>
    <x v="31"/>
    <s v="Typ: PremiumCord,Vyhot,: bal. 305m,Spec.: CAT5e UTP,Zaruka: neuvedené"/>
    <n v="46"/>
    <n v="15"/>
    <n v="690"/>
    <n v="89.477499999999992"/>
    <n v="121"/>
    <n v="139.9025"/>
  </r>
  <r>
    <n v="584"/>
    <s v="Rámcová dohoda"/>
    <n v="5359822"/>
    <s v="https://crz.gov.sk/zmluva/5359822"/>
    <s v="https://www.crz.gov.sk/data/att/2649193.pdf"/>
    <x v="31"/>
    <s v="Typ: neuvedené,Vyhot,: bal. 305m,Spec.: CAT6a UTP,Zaruka: neuvedené"/>
    <n v="120"/>
    <n v="15"/>
    <n v="1800"/>
    <n v="89.477499999999992"/>
    <n v="121"/>
    <n v="139.9025"/>
  </r>
  <r>
    <n v="585"/>
    <s v="Rámcová dohoda"/>
    <n v="5359822"/>
    <s v="https://crz.gov.sk/zmluva/5359822"/>
    <s v="https://www.crz.gov.sk/data/att/2649193.pdf"/>
    <x v="31"/>
    <s v="Typ: neuvedené,Vyhot,: bal. 305m,Spec.: CAT6a S/FTP LSOH,Zaruka: neuvedené"/>
    <n v="155"/>
    <n v="15"/>
    <n v="2325"/>
    <n v="89.477499999999992"/>
    <n v="121"/>
    <n v="139.9025"/>
  </r>
  <r>
    <n v="586"/>
    <s v="Rámcová dohoda"/>
    <n v="5359822"/>
    <s v="https://crz.gov.sk/zmluva/5359822"/>
    <s v="https://www.crz.gov.sk/data/att/2649193.pdf"/>
    <x v="31"/>
    <s v="Typ: neuvedené,Vyhot,: bal. 500m,Spec.: CAT6a UTP,Zaruka: neuvedené"/>
    <n v="139"/>
    <n v="2"/>
    <n v="278"/>
    <n v="89.477499999999992"/>
    <n v="121"/>
    <n v="139.9025"/>
  </r>
  <r>
    <n v="587"/>
    <s v="Rámcová dohoda"/>
    <n v="5359822"/>
    <s v="https://crz.gov.sk/zmluva/5359822"/>
    <s v="https://www.crz.gov.sk/data/att/2649193.pdf"/>
    <x v="31"/>
    <s v="Typ: Solarix,Vyhot,: bal. 305m,Spec.: CAT6a STP LSOH,Zaruka: neuvedené"/>
    <n v="198"/>
    <n v="2"/>
    <n v="396"/>
    <n v="89.477499999999992"/>
    <n v="121"/>
    <n v="139.9025"/>
  </r>
  <r>
    <n v="588"/>
    <s v="Rámcová dohoda"/>
    <n v="5359822"/>
    <s v="https://crz.gov.sk/zmluva/5359822"/>
    <s v="https://www.crz.gov.sk/data/att/2649193.pdf"/>
    <x v="31"/>
    <s v="Typ: neuvedené,Vyhot,: bal. 305m,Spec.: CAT5e S/FTP,Zaruka: neuvedené"/>
    <n v="49"/>
    <n v="15"/>
    <n v="735"/>
    <n v="89.477499999999992"/>
    <n v="121"/>
    <n v="139.9025"/>
  </r>
  <r>
    <n v="589"/>
    <s v="Rámcová dohoda"/>
    <n v="5359822"/>
    <s v="https://crz.gov.sk/zmluva/5359822"/>
    <s v="https://www.crz.gov.sk/data/att/2649193.pdf"/>
    <x v="32"/>
    <s v="Typ: Kingston DataTraveler 70,Kapacita: 32GB,Rozhranie: USB-C 3.2,Zaruka: neuvedené"/>
    <n v="4.9000000000000004"/>
    <n v="2"/>
    <n v="9.8000000000000007"/>
    <n v="4.9000000000000004"/>
    <n v="8.4"/>
    <n v="14"/>
  </r>
  <r>
    <n v="590"/>
    <s v="Rámcová dohoda"/>
    <n v="5359822"/>
    <s v="https://crz.gov.sk/zmluva/5359822"/>
    <s v="https://www.crz.gov.sk/data/att/2649193.pdf"/>
    <x v="32"/>
    <s v="Typ: Adata DashDrive Classic UV150,Kapacita: 16GB,Rozhranie: USB 3.0,Zaruka: neuvedené"/>
    <n v="4.5"/>
    <n v="5"/>
    <n v="22.5"/>
    <n v="4.9000000000000004"/>
    <n v="8.4"/>
    <n v="14"/>
  </r>
  <r>
    <n v="591"/>
    <s v="Rámcová dohoda"/>
    <n v="5359822"/>
    <s v="https://crz.gov.sk/zmluva/5359822"/>
    <s v="https://www.crz.gov.sk/data/att/2649193.pdf"/>
    <x v="32"/>
    <s v="Typ: Adata DashDrive Classic UV128,Kapacita: 32GB,Rozhranie: USB 3.0,Zaruka: neuvedené"/>
    <n v="4.9000000000000004"/>
    <n v="2"/>
    <n v="9.8000000000000007"/>
    <n v="4.9000000000000004"/>
    <n v="8.4"/>
    <n v="14"/>
  </r>
  <r>
    <n v="592"/>
    <s v="Rámcová dohoda"/>
    <n v="5359822"/>
    <s v="https://crz.gov.sk/zmluva/5359822"/>
    <s v="https://www.crz.gov.sk/data/att/2649193.pdf"/>
    <x v="32"/>
    <s v="Typ: Adata DashDrive UV150,Kapacita: 64GB,Rozhranie: USB 3.1,Zaruka: neuvedené"/>
    <n v="8.5"/>
    <n v="2"/>
    <n v="17"/>
    <n v="4.9000000000000004"/>
    <n v="8.4"/>
    <n v="14"/>
  </r>
  <r>
    <n v="593"/>
    <s v="Rámcová dohoda"/>
    <n v="5359822"/>
    <s v="https://crz.gov.sk/zmluva/5359822"/>
    <s v="https://www.crz.gov.sk/data/att/2649193.pdf"/>
    <x v="32"/>
    <s v="Typ: Patriot Slate,Kapacita: 128GB,Rozhranie: USB 3.0,Zaruka: neuvedené"/>
    <n v="14"/>
    <n v="2"/>
    <n v="28"/>
    <n v="4.9000000000000004"/>
    <n v="8.4"/>
    <n v="14"/>
  </r>
  <r>
    <n v="594"/>
    <s v="Rámcová dohoda"/>
    <n v="5359822"/>
    <s v="https://crz.gov.sk/zmluva/5359822"/>
    <s v="https://www.crz.gov.sk/data/att/2649193.pdf"/>
    <x v="32"/>
    <s v="Typ: Kingston DataTraveler 70,Kapacita: 64GB,Rozhranie: USB-C 3.2,Zaruka: neuvedené"/>
    <n v="8.4"/>
    <n v="2"/>
    <n v="16.8"/>
    <n v="4.9000000000000004"/>
    <n v="8.4"/>
    <n v="14"/>
  </r>
  <r>
    <n v="595"/>
    <s v="Rámcová dohoda"/>
    <n v="5359822"/>
    <s v="https://crz.gov.sk/zmluva/5359822"/>
    <s v="https://www.crz.gov.sk/data/att/2649193.pdf"/>
    <x v="33"/>
    <s v="Typ: Gembird,Porty: 4x USB 2.0,Napajanie: z USB,Vypinanie: nie,Zaruka: neuvedené"/>
    <n v="4.5"/>
    <n v="2"/>
    <n v="9"/>
    <n v="7.9050000000000002"/>
    <n v="13"/>
    <n v="16.75"/>
  </r>
  <r>
    <n v="596"/>
    <s v="Rámcová dohoda"/>
    <n v="5359822"/>
    <s v="https://crz.gov.sk/zmluva/5359822"/>
    <s v="https://www.crz.gov.sk/data/att/2649193.pdf"/>
    <x v="33"/>
    <s v="Typ: neuvedené,Porty: 7x USB 2.0,Napajanie: ext. zdroj,Vypinanie: áno,Zaruka: neuvedené"/>
    <n v="18.5"/>
    <n v="2"/>
    <n v="37"/>
    <n v="7.9050000000000002"/>
    <n v="13"/>
    <n v="16.75"/>
  </r>
  <r>
    <n v="597"/>
    <s v="Rámcová dohoda"/>
    <n v="5359822"/>
    <s v="https://crz.gov.sk/zmluva/5359822"/>
    <s v="https://www.crz.gov.sk/data/att/2649193.pdf"/>
    <x v="33"/>
    <s v="Typ: Manhattan Hub,Porty: 4x USB 2.0,Napajanie: ext. zdroj,Vypinanie: nie,Zaruka: neuvedené"/>
    <n v="13"/>
    <n v="2"/>
    <n v="26"/>
    <n v="7.9050000000000002"/>
    <n v="13"/>
    <n v="16.75"/>
  </r>
  <r>
    <n v="598"/>
    <s v="Rámcová dohoda"/>
    <n v="5359822"/>
    <s v="https://crz.gov.sk/zmluva/5359822"/>
    <s v="https://www.crz.gov.sk/data/att/2649193.pdf"/>
    <x v="34"/>
    <s v="Typ: Solarix,Spec.: CAT5e STP,Rozmer: 1U,PocetZasuviek: 24,Zaruka: neuvedené"/>
    <n v="42.5"/>
    <n v="1"/>
    <n v="42.5"/>
    <n v="40.5"/>
    <n v="43.39"/>
    <n v="69.25"/>
  </r>
  <r>
    <n v="599"/>
    <s v="Rámcová dohoda"/>
    <n v="5359822"/>
    <s v="https://crz.gov.sk/zmluva/5359822"/>
    <s v="https://www.crz.gov.sk/data/att/2649193.pdf"/>
    <x v="34"/>
    <s v="Typ: neuvedené,Spec.: CAT6a FTP,Rozmer: 1U,PocetZasuviek: 24,Zaruka: neuvedené"/>
    <n v="59"/>
    <n v="1"/>
    <n v="59"/>
    <n v="40.5"/>
    <n v="43.39"/>
    <n v="69.25"/>
  </r>
  <r>
    <n v="600"/>
    <s v="Rámcová dohoda"/>
    <n v="5359822"/>
    <s v="https://crz.gov.sk/zmluva/5359822"/>
    <s v="https://www.crz.gov.sk/data/att/2649193.pdf"/>
    <x v="34"/>
    <s v="Typ: Solarix,Spec.: CAT6a STP,Rozmer: 1U,PocetZasuviek: 24,Zaruka: neuvedené"/>
    <n v="14.5"/>
    <n v="1"/>
    <n v="14.5"/>
    <n v="40.5"/>
    <n v="43.39"/>
    <n v="69.25"/>
  </r>
  <r>
    <n v="601"/>
    <s v="Rámcová dohoda"/>
    <n v="5359822"/>
    <s v="https://crz.gov.sk/zmluva/5359822"/>
    <s v="https://www.crz.gov.sk/data/att/2649193.pdf"/>
    <x v="34"/>
    <s v="Typ: Gembird,Spec.: CAT6 FTP,Rozmer: 1U,PocetZasuviek: 24,Zaruka: neuvedené"/>
    <n v="34.5"/>
    <n v="1"/>
    <n v="34.5"/>
    <n v="40.5"/>
    <n v="43.39"/>
    <n v="69.25"/>
  </r>
  <r>
    <n v="602"/>
    <s v="Rámcová dohoda"/>
    <n v="5359822"/>
    <s v="https://crz.gov.sk/zmluva/5359822"/>
    <s v="https://www.crz.gov.sk/data/att/2649193.pdf"/>
    <x v="10"/>
    <s v="Typ: Linkbasic, Vyska: 22U stojaci, Zaruka: neuvedené"/>
    <n v="129"/>
    <n v="1"/>
    <n v="129"/>
    <n v="98.7"/>
    <n v="172.56"/>
    <n v="2312.5"/>
  </r>
  <r>
    <n v="603"/>
    <s v="Rámcová dohoda"/>
    <n v="5359822"/>
    <s v="https://crz.gov.sk/zmluva/5359822"/>
    <s v="https://www.crz.gov.sk/data/att/2649193.pdf"/>
    <x v="10"/>
    <s v="Typ: Triton, Vyska: 12U na stenu, Zaruka: neuvedené"/>
    <n v="102"/>
    <n v="1"/>
    <n v="102"/>
    <n v="98.7"/>
    <n v="172.56"/>
    <n v="2312.5"/>
  </r>
  <r>
    <n v="604"/>
    <s v="Rámcová dohoda"/>
    <n v="5359822"/>
    <s v="https://crz.gov.sk/zmluva/5359822"/>
    <s v="https://www.crz.gov.sk/data/att/2649193.pdf"/>
    <x v="10"/>
    <s v="Typ: Netrack, Vyska: 6U na stenu, Zaruka: neuvedené"/>
    <n v="63"/>
    <n v="1"/>
    <n v="63"/>
    <n v="98.7"/>
    <n v="172.56"/>
    <n v="2312.5"/>
  </r>
  <r>
    <n v="605"/>
    <s v="Rámcová dohoda"/>
    <n v="5359822"/>
    <s v="https://crz.gov.sk/zmluva/5359822"/>
    <s v="https://www.crz.gov.sk/data/att/2649193.pdf"/>
    <x v="10"/>
    <s v="Typ: Triton 500mm, Vyska: 9U na stenu, Zaruka: neuvedené"/>
    <n v="98"/>
    <n v="1"/>
    <n v="98"/>
    <n v="98.7"/>
    <n v="172.56"/>
    <n v="2312.5"/>
  </r>
  <r>
    <n v="606"/>
    <s v="Rámcová dohoda"/>
    <n v="5359822"/>
    <s v="https://crz.gov.sk/zmluva/5359822"/>
    <s v="https://www.crz.gov.sk/data/att/2649193.pdf"/>
    <x v="10"/>
    <s v="Typ: Triton 510mm, Vyska: 6U na stenu, Zaruka: neuvedené"/>
    <n v="95"/>
    <n v="1"/>
    <n v="95"/>
    <n v="98.7"/>
    <n v="172.56"/>
    <n v="2312.5"/>
  </r>
  <r>
    <n v="607"/>
    <s v="Rámcová dohoda"/>
    <n v="5359822"/>
    <s v="https://crz.gov.sk/zmluva/5359822"/>
    <s v="https://www.crz.gov.sk/data/att/2649193.pdf"/>
    <x v="10"/>
    <s v="Typ: Triton 600mm, Vyska: 6U na stenu, Zaruka: neuvedené"/>
    <n v="100.4"/>
    <n v="1"/>
    <n v="100.4"/>
    <n v="98.7"/>
    <n v="172.56"/>
    <n v="2312.5"/>
  </r>
  <r>
    <n v="608"/>
    <s v="Rámcová dohoda"/>
    <n v="5359822"/>
    <s v="https://crz.gov.sk/zmluva/5359822"/>
    <s v="https://www.crz.gov.sk/data/att/2649193.pdf"/>
    <x v="10"/>
    <s v="Typ: Triton 400mm, Vyska: 9U na stenu, Zaruka: neuvedené"/>
    <n v="92.4"/>
    <n v="1"/>
    <n v="92.4"/>
    <n v="98.7"/>
    <n v="172.56"/>
    <n v="2312.5"/>
  </r>
  <r>
    <n v="609"/>
    <s v="Rámcová dohoda"/>
    <n v="5359822"/>
    <s v="https://crz.gov.sk/zmluva/5359822"/>
    <s v="https://www.crz.gov.sk/data/att/2649193.pdf"/>
    <x v="10"/>
    <s v="Typ: Triton 500mm, Vyska: 9U na stenu, Zaruka: neuvedené"/>
    <n v="98.5"/>
    <n v="1"/>
    <n v="98.5"/>
    <n v="98.7"/>
    <n v="172.56"/>
    <n v="2312.5"/>
  </r>
  <r>
    <n v="610"/>
    <s v="Rámcová dohoda"/>
    <n v="5359822"/>
    <s v="https://crz.gov.sk/zmluva/5359822"/>
    <s v="https://www.crz.gov.sk/data/att/2649193.pdf"/>
    <x v="10"/>
    <s v="Typ: Triton 600mm, Vyska: 9U na stenu, Zaruka: neuvedené"/>
    <n v="98.4"/>
    <n v="1"/>
    <n v="98.4"/>
    <n v="98.7"/>
    <n v="172.56"/>
    <n v="2312.5"/>
  </r>
  <r>
    <n v="611"/>
    <s v="Rámcová dohoda"/>
    <n v="5359822"/>
    <s v="https://crz.gov.sk/zmluva/5359822"/>
    <s v="https://www.crz.gov.sk/data/att/2649193.pdf"/>
    <x v="10"/>
    <s v="Typ: neuvedené - 600x500, Vyska: 12U na stenu, Zaruka: neuvedené"/>
    <n v="98.9"/>
    <n v="1"/>
    <n v="98.9"/>
    <n v="98.7"/>
    <n v="172.56"/>
    <n v="2312.5"/>
  </r>
  <r>
    <n v="612"/>
    <s v="Rámcová dohoda"/>
    <n v="5359822"/>
    <s v="https://crz.gov.sk/zmluva/5359822"/>
    <s v="https://www.crz.gov.sk/data/att/2649193.pdf"/>
    <x v="10"/>
    <s v="Typ: neuvedené - 600x600, Vyska: 12U na stenu, Zaruka: neuvedené"/>
    <n v="116"/>
    <n v="1"/>
    <n v="116"/>
    <n v="98.7"/>
    <n v="172.56"/>
    <n v="2312.5"/>
  </r>
  <r>
    <n v="613"/>
    <s v="Rámcová dohoda"/>
    <n v="5359822"/>
    <s v="https://crz.gov.sk/zmluva/5359822"/>
    <s v="https://www.crz.gov.sk/data/att/2649193.pdf"/>
    <x v="35"/>
    <s v="Typ: Logitech C920,Rozlisenie: 1920x1080,CCD: 15MPx,FPS: neuvedené,Rozhranie: USB,Zaruka: neuvedené"/>
    <n v="99.4"/>
    <n v="5"/>
    <n v="497"/>
    <n v="34.0625"/>
    <n v="68.2"/>
    <n v="133.05000000000001"/>
  </r>
  <r>
    <n v="614"/>
    <s v="Rámcová dohoda"/>
    <n v="5359822"/>
    <s v="https://crz.gov.sk/zmluva/5359822"/>
    <s v="https://www.crz.gov.sk/data/att/2649193.pdf"/>
    <x v="35"/>
    <s v="Typ: Canyon CNE-CWC2,Rozlisenie: 1280x720,CCD: neuvedené,FPS: neuvedené,Rozhranie: USB,Zaruka: neuvedené"/>
    <n v="25.25"/>
    <n v="5"/>
    <n v="126.25"/>
    <n v="34.0625"/>
    <n v="68.2"/>
    <n v="133.05000000000001"/>
  </r>
  <r>
    <n v="615"/>
    <s v="Rámcová dohoda"/>
    <n v="5359822"/>
    <s v="https://crz.gov.sk/zmluva/5359822"/>
    <s v="https://www.crz.gov.sk/data/att/2649193.pdf"/>
    <x v="35"/>
    <s v="Typ: Logitech ConferenceCam BCC950,Rozlisenie: 1920x1080,CCD: neuvedené,FPS: 30,Rozhranie: USB,Zaruka: neuvedené"/>
    <n v="234"/>
    <n v="5"/>
    <n v="1170"/>
    <n v="34.0625"/>
    <n v="68.2"/>
    <n v="133.05000000000001"/>
  </r>
  <r>
    <n v="616"/>
    <s v="Rámcová dohoda"/>
    <n v="5359822"/>
    <s v="https://crz.gov.sk/zmluva/5359822"/>
    <s v="https://www.crz.gov.sk/data/att/2649193.pdf"/>
    <x v="36"/>
    <s v="Typ: Geovision GV-LPC2011,Vyhot.: štandard,Rozlisenie: 1920x1080,CCD: 2MPx,FPS: neuvedené,Zoom: 3x,Rozhranie: LAN,Zaruka: neuvedené"/>
    <n v="570"/>
    <n v="5"/>
    <n v="2850"/>
    <n v="521.25"/>
    <n v="707.91666666666674"/>
    <n v="851.875"/>
  </r>
  <r>
    <n v="617"/>
    <s v="Rámcová dohoda"/>
    <n v="5359822"/>
    <s v="https://crz.gov.sk/zmluva/5359822"/>
    <s v="https://www.crz.gov.sk/data/att/2649193.pdf"/>
    <x v="36"/>
    <s v="Typ: Geovision GV-LPC2211,Vyhot.: štandard,Rozlisenie: 1920x1080,CCD: 2MPx,FPS: neuvedené,Zoom: 2.5x,Rozhranie: LAN,Zaruka: neuvedené"/>
    <n v="870"/>
    <n v="5"/>
    <n v="4350"/>
    <n v="521.25"/>
    <n v="707.91666666666674"/>
    <n v="851.875"/>
  </r>
  <r>
    <n v="618"/>
    <s v="Rámcová dohoda"/>
    <n v="5359822"/>
    <s v="https://crz.gov.sk/zmluva/5359822"/>
    <s v="https://www.crz.gov.sk/data/att/2649193.pdf"/>
    <x v="36"/>
    <s v="Typ: Geovision GV-VD5700,Vyhot.: antivandal dome,Rozlisenie: 1920x1080,CCD: 5MPx,FPS: neuvedené,Zoom: neuvedené,Rozhranie: LAN,Zaruka: neuvedené"/>
    <n v="375"/>
    <n v="1"/>
    <n v="375"/>
    <n v="521.25"/>
    <n v="707.91666666666674"/>
    <n v="851.875"/>
  </r>
  <r>
    <n v="619"/>
    <s v="Rámcová dohoda"/>
    <n v="5359822"/>
    <s v="https://crz.gov.sk/zmluva/5359822"/>
    <s v="https://www.crz.gov.sk/data/att/2649193.pdf"/>
    <x v="5"/>
    <s v="Typ: I-tec ADVANCE,Video: FHD+ 2048x1152 HDMI DVI,Porty: 2x USB3.0 4x USB 2.0,LAN: áno,Audio: áno,Zaruka: neuvedené"/>
    <n v="79"/>
    <n v="5"/>
    <n v="395"/>
    <n v="17.549999999999997"/>
    <n v="275.8"/>
    <n v="11191.057499999999"/>
  </r>
  <r>
    <n v="620"/>
    <s v="Rámcová dohoda"/>
    <n v="5359822"/>
    <s v="https://crz.gov.sk/zmluva/5359822"/>
    <s v="https://www.crz.gov.sk/data/att/2649193.pdf"/>
    <x v="37"/>
    <s v="Typ: Axago,Podp. karty: all-in-one 5 slotov,Rozhranie: USB,Zaruka: neuvedené"/>
    <n v="6.9"/>
    <n v="4"/>
    <n v="27.6"/>
    <n v="4.8"/>
    <n v="6.58"/>
    <n v="6.9"/>
  </r>
  <r>
    <n v="621"/>
    <s v="Rámcová dohoda"/>
    <n v="5359822"/>
    <s v="https://crz.gov.sk/zmluva/5359822"/>
    <s v="https://www.crz.gov.sk/data/att/2649193.pdf"/>
    <x v="38"/>
    <s v="Typ: Gembird,Technol.: optická drôtová,Rozlisenie: 1000DPI,Rozhranie: USB,Zaruka: neuvedené"/>
    <n v="3.9"/>
    <n v="10"/>
    <n v="39"/>
    <n v="4.25"/>
    <n v="6.12"/>
    <n v="13.55"/>
  </r>
  <r>
    <n v="622"/>
    <s v="Rámcová dohoda"/>
    <n v="5359822"/>
    <s v="https://crz.gov.sk/zmluva/5359822"/>
    <s v="https://www.crz.gov.sk/data/att/2649193.pdf"/>
    <x v="38"/>
    <s v="Typ: Gembird MUS-UL-1,Technol.: laserová drôtová,Rozlisenie: 2400DPI,Rozhranie: USB,Zaruka: neuvedené"/>
    <n v="6"/>
    <n v="10"/>
    <n v="60"/>
    <n v="4.25"/>
    <n v="6.12"/>
    <n v="13.55"/>
  </r>
  <r>
    <n v="623"/>
    <s v="Rámcová dohoda"/>
    <n v="5359822"/>
    <s v="https://crz.gov.sk/zmluva/5359822"/>
    <s v="https://www.crz.gov.sk/data/att/2649193.pdf"/>
    <x v="38"/>
    <s v="Typ: Genius DX-120,Technol.: laserová drôtová,Rozlisenie: 1200DPI,Rozhranie: USB,Zaruka: neuvedené"/>
    <n v="4.5999999999999996"/>
    <n v="10"/>
    <n v="46"/>
    <n v="4.25"/>
    <n v="6.12"/>
    <n v="13.55"/>
  </r>
  <r>
    <n v="624"/>
    <s v="Rámcová dohoda"/>
    <n v="5359822"/>
    <s v="https://crz.gov.sk/zmluva/5359822"/>
    <s v="https://www.crz.gov.sk/data/att/2649193.pdf"/>
    <x v="38"/>
    <s v="Typ: Logitech B100,Technol.: optická drôtová,Rozlisenie: 800DPI,Rozhranie: USB,Zaruka: neuvedené"/>
    <n v="7.25"/>
    <n v="10"/>
    <n v="72.5"/>
    <n v="4.25"/>
    <n v="6.12"/>
    <n v="13.55"/>
  </r>
  <r>
    <n v="625"/>
    <s v="Rámcová dohoda"/>
    <n v="5359822"/>
    <s v="https://crz.gov.sk/zmluva/5359822"/>
    <s v="https://www.crz.gov.sk/data/att/2649193.pdf"/>
    <x v="38"/>
    <s v="Typ: SPIRE Archer I,Technol.: optická drôtová,Rozlisenie: neuvedené,Rozhranie: USB,Zaruka: neuvedené"/>
    <n v="19.8"/>
    <n v="10"/>
    <n v="198"/>
    <n v="4.25"/>
    <n v="6.12"/>
    <n v="13.55"/>
  </r>
  <r>
    <n v="626"/>
    <s v="Rámcová dohoda"/>
    <n v="5359822"/>
    <s v="https://crz.gov.sk/zmluva/5359822"/>
    <s v="https://www.crz.gov.sk/data/att/2649193.pdf"/>
    <x v="38"/>
    <s v="Typ: I-tec,Technol.: optická bezdrôtová,Rozlisenie: neuvedené,Rozhranie: Bluetooth,Zaruka: neuvedené"/>
    <n v="12.5"/>
    <n v="15"/>
    <n v="187.5"/>
    <n v="4.25"/>
    <n v="6.12"/>
    <n v="13.55"/>
  </r>
  <r>
    <n v="627"/>
    <s v="Rámcová dohoda"/>
    <n v="5359822"/>
    <s v="https://crz.gov.sk/zmluva/5359822"/>
    <s v="https://www.crz.gov.sk/data/att/2649193.pdf"/>
    <x v="38"/>
    <s v="Typ: Logitech M235,Technol.: optická bezdrôtová,Rozlisenie: 1000DPI,Rozhranie: proprietárne USB,Zaruka: neuvedené"/>
    <n v="23.5"/>
    <n v="15"/>
    <n v="352.5"/>
    <n v="4.25"/>
    <n v="6.12"/>
    <n v="13.55"/>
  </r>
  <r>
    <n v="628"/>
    <s v="Rámcová dohoda"/>
    <n v="5359822"/>
    <s v="https://crz.gov.sk/zmluva/5359822"/>
    <s v="https://www.crz.gov.sk/data/att/2649193.pdf"/>
    <x v="39"/>
    <s v="Typ: Genius Smart KB-102,Pripoj.: drôtová,Rozlozenie: CZ+SK,Rozhranie: USB,Zaruka: neuvedené"/>
    <n v="7"/>
    <n v="15"/>
    <n v="105"/>
    <n v="5.1899999999999995"/>
    <n v="8.5"/>
    <n v="21.95"/>
  </r>
  <r>
    <n v="629"/>
    <s v="Rámcová dohoda"/>
    <n v="5359822"/>
    <s v="https://crz.gov.sk/zmluva/5359822"/>
    <s v="https://www.crz.gov.sk/data/att/2649193.pdf"/>
    <x v="39"/>
    <s v="Typ: Canyon CNE-CKEY2,Pripoj.: drôtová,Rozlozenie: SK,Rozhranie: USB,Zaruka: neuvedené"/>
    <n v="10"/>
    <n v="15"/>
    <n v="150"/>
    <n v="5.1899999999999995"/>
    <n v="8.5"/>
    <n v="21.95"/>
  </r>
  <r>
    <n v="630"/>
    <s v="Rámcová dohoda"/>
    <n v="5359822"/>
    <s v="https://crz.gov.sk/zmluva/5359822"/>
    <s v="https://www.crz.gov.sk/data/att/2649193.pdf"/>
    <x v="39"/>
    <s v="Typ: Logitech K360,Pripoj.: bezdrôtová,Rozlozenie: CZ+SK,Rozhranie: proprietárne USB,Zaruka: neuvedené"/>
    <n v="34.5"/>
    <n v="15"/>
    <n v="517.5"/>
    <n v="5.1899999999999995"/>
    <n v="8.5"/>
    <n v="21.95"/>
  </r>
  <r>
    <n v="631"/>
    <s v="Rámcová dohoda"/>
    <n v="5359822"/>
    <s v="https://crz.gov.sk/zmluva/5359822"/>
    <s v="https://www.crz.gov.sk/data/att/2649193.pdf"/>
    <x v="39"/>
    <s v="Typ: Logitech K400 Plus Wireless Touch Keyboard,Pripoj.: bezdrôtová,Rozlozenie: CZ+SK,Rozhranie: proprietárne USB,Zaruka: neuvedené"/>
    <n v="36.4"/>
    <n v="4"/>
    <n v="145.6"/>
    <n v="5.1899999999999995"/>
    <n v="8.5"/>
    <n v="21.95"/>
  </r>
  <r>
    <n v="632"/>
    <s v="Rámcová dohoda"/>
    <n v="5359822"/>
    <s v="https://crz.gov.sk/zmluva/5359822"/>
    <s v="https://www.crz.gov.sk/data/att/2649193.pdf"/>
    <x v="5"/>
    <s v="Taška na notebook 10.1&quot;,Zaruka: neuvedené"/>
    <n v="9.8000000000000007"/>
    <n v="5"/>
    <n v="49"/>
    <n v="17.549999999999997"/>
    <n v="275.8"/>
    <n v="11191.057499999999"/>
  </r>
  <r>
    <n v="633"/>
    <s v="Rámcová dohoda"/>
    <n v="5359822"/>
    <s v="https://crz.gov.sk/zmluva/5359822"/>
    <s v="https://www.crz.gov.sk/data/att/2649193.pdf"/>
    <x v="5"/>
    <s v="Taška na notebook 10&quot; - 12&quot;,Zaruka: neuvedené"/>
    <n v="11.5"/>
    <n v="5"/>
    <n v="57.5"/>
    <n v="17.549999999999997"/>
    <n v="275.8"/>
    <n v="11191.057499999999"/>
  </r>
  <r>
    <n v="634"/>
    <s v="Rámcová dohoda"/>
    <n v="5359822"/>
    <s v="https://crz.gov.sk/zmluva/5359822"/>
    <s v="https://www.crz.gov.sk/data/att/2649193.pdf"/>
    <x v="5"/>
    <s v="Taška na notebook 13.3&quot; - 14.1&quot; + 10.1&quot; tablet,Zaruka: neuvedené"/>
    <n v="16.899999999999999"/>
    <n v="5"/>
    <n v="84.5"/>
    <n v="17.549999999999997"/>
    <n v="275.8"/>
    <n v="11191.057499999999"/>
  </r>
  <r>
    <n v="635"/>
    <s v="Rámcová dohoda"/>
    <n v="5359822"/>
    <s v="https://crz.gov.sk/zmluva/5359822"/>
    <s v="https://www.crz.gov.sk/data/att/2649193.pdf"/>
    <x v="5"/>
    <s v="Taška na notebook 14.1&quot;,Zaruka: neuvedené"/>
    <n v="12.4"/>
    <n v="5"/>
    <n v="62"/>
    <n v="17.549999999999997"/>
    <n v="275.8"/>
    <n v="11191.057499999999"/>
  </r>
  <r>
    <n v="636"/>
    <s v="Rámcová dohoda"/>
    <n v="5359822"/>
    <s v="https://crz.gov.sk/zmluva/5359822"/>
    <s v="https://www.crz.gov.sk/data/att/2649193.pdf"/>
    <x v="5"/>
    <s v="Taška na notebook 15.6&quot;,Zaruka: neuvedené"/>
    <n v="15.5"/>
    <n v="5"/>
    <n v="77.5"/>
    <n v="17.549999999999997"/>
    <n v="275.8"/>
    <n v="11191.057499999999"/>
  </r>
  <r>
    <n v="637"/>
    <s v="Rámcová dohoda"/>
    <n v="5359822"/>
    <s v="https://crz.gov.sk/zmluva/5359822"/>
    <s v="https://www.crz.gov.sk/data/att/2649193.pdf"/>
    <x v="5"/>
    <s v="Taška na notebook 17&quot;,Zaruka: neuvedené"/>
    <n v="17.399999999999999"/>
    <n v="5"/>
    <n v="87"/>
    <n v="17.549999999999997"/>
    <n v="275.8"/>
    <n v="11191.057499999999"/>
  </r>
  <r>
    <n v="638"/>
    <s v="Rámcová dohoda"/>
    <n v="5359822"/>
    <s v="https://crz.gov.sk/zmluva/5359822"/>
    <s v="https://www.crz.gov.sk/data/att/2649193.pdf"/>
    <x v="5"/>
    <s v="Batoh na notebook 15.6&quot;,Zaruka: neuvedené"/>
    <n v="13.9"/>
    <n v="2"/>
    <n v="27.8"/>
    <n v="17.549999999999997"/>
    <n v="275.8"/>
    <n v="11191.057499999999"/>
  </r>
  <r>
    <n v="639"/>
    <s v="Rámcová dohoda"/>
    <n v="5359822"/>
    <s v="https://crz.gov.sk/zmluva/5359822"/>
    <s v="https://www.crz.gov.sk/data/att/2649193.pdf"/>
    <x v="5"/>
    <s v="Batoh na notebook 17.3&quot;,Zaruka: neuvedené"/>
    <n v="18.399999999999999"/>
    <n v="2"/>
    <n v="36.799999999999997"/>
    <n v="17.549999999999997"/>
    <n v="275.8"/>
    <n v="11191.057499999999"/>
  </r>
  <r>
    <n v="640"/>
    <s v="Rámcová dohoda"/>
    <n v="5359822"/>
    <s v="https://crz.gov.sk/zmluva/5359822"/>
    <s v="https://www.crz.gov.sk/data/att/2649193.pdf"/>
    <x v="11"/>
    <s v="Typ: Energenie UPS 650VA,Spinanie: Line-interactive,Vykon: 400W,Vyhot.: neuvedené,Zaruka: neuvedené"/>
    <n v="49"/>
    <n v="10"/>
    <n v="490"/>
    <n v="59.227499999999999"/>
    <n v="332.14"/>
    <n v="1331.8050000000001"/>
  </r>
  <r>
    <n v="641"/>
    <s v="Rámcová dohoda"/>
    <n v="5359822"/>
    <s v="https://crz.gov.sk/zmluva/5359822"/>
    <s v="https://www.crz.gov.sk/data/att/2649193.pdf"/>
    <x v="11"/>
    <s v="Typ: APC Smart-UPS 1500VA,Spinanie: online,Vykon: 1kW,Vyhot.: 2U,Zaruka: neuvedené"/>
    <n v="960"/>
    <n v="10"/>
    <n v="9600"/>
    <n v="59.227499999999999"/>
    <n v="332.14"/>
    <n v="1331.8050000000001"/>
  </r>
  <r>
    <n v="642"/>
    <s v="Rámcová dohoda"/>
    <n v="5359822"/>
    <s v="https://crz.gov.sk/zmluva/5359822"/>
    <s v="https://www.crz.gov.sk/data/att/2649193.pdf"/>
    <x v="11"/>
    <s v="Typ: APC Smart-UPS 3000VA,Spinanie: online,Vykon: 2,7kW,Vyhot.: 2U,Zaruka: neuvedené"/>
    <n v="1820"/>
    <n v="10"/>
    <n v="18200"/>
    <n v="59.227499999999999"/>
    <n v="332.14"/>
    <n v="1331.8050000000001"/>
  </r>
  <r>
    <n v="643"/>
    <s v="Rámcová dohoda"/>
    <n v="5359822"/>
    <s v="https://crz.gov.sk/zmluva/5359822"/>
    <s v="https://www.crz.gov.sk/data/att/2649193.pdf"/>
    <x v="40"/>
    <s v="Typ: Emos SLA,Napatie: 12V,Kapacita: 18Ah,Zaruka: neuvedené"/>
    <n v="35.5"/>
    <n v="5"/>
    <n v="177.5"/>
    <n v="67.650000000000006"/>
    <n v="99.8"/>
    <n v="116.4"/>
  </r>
  <r>
    <n v="644"/>
    <s v="Rámcová dohoda"/>
    <n v="5359822"/>
    <s v="https://crz.gov.sk/zmluva/5359822"/>
    <s v="https://www.crz.gov.sk/data/att/2649193.pdf"/>
    <x v="40"/>
    <s v="Typ: APC Replacement Battery Cartridge #33,Napatie: neuvedené,Kapacita: neuvedené,Zaruka: neuvedené"/>
    <n v="99.8"/>
    <n v="5"/>
    <n v="499"/>
    <n v="67.650000000000006"/>
    <n v="99.8"/>
    <n v="116.4"/>
  </r>
  <r>
    <n v="645"/>
    <s v="Rámcová dohoda"/>
    <n v="5359822"/>
    <s v="https://crz.gov.sk/zmluva/5359822"/>
    <s v="https://www.crz.gov.sk/data/att/2649193.pdf"/>
    <x v="40"/>
    <s v="Typ: APC Replacement Battery Cartridge #59,Napatie: neuvedené,Kapacita: neuvedené,Zaruka: neuvedené"/>
    <n v="133"/>
    <n v="5"/>
    <n v="665"/>
    <n v="67.650000000000006"/>
    <n v="99.8"/>
    <n v="116.4"/>
  </r>
  <r>
    <n v="646"/>
    <s v="Rámcová dohoda"/>
    <n v="5359822"/>
    <s v="https://crz.gov.sk/zmluva/5359822"/>
    <s v="https://www.crz.gov.sk/data/att/2649193.pdf"/>
    <x v="41"/>
    <s v="Typ: Honeywell MS5145 Eclipse,Rychlost: 72 riadkov/s,Kompatibilita: Code39,Rozhranie: USB,Zaruka: neuvedené"/>
    <n v="44.9"/>
    <n v="2"/>
    <n v="89.8"/>
    <n v="78.449999999999989"/>
    <n v="112"/>
    <n v="146"/>
  </r>
  <r>
    <n v="647"/>
    <s v="Rámcová dohoda"/>
    <n v="5359822"/>
    <s v="https://crz.gov.sk/zmluva/5359822"/>
    <s v="https://www.crz.gov.sk/data/att/2649193.pdf"/>
    <x v="18"/>
    <s v="Typ: TP-Link TL-SG108E,Porty/rychl.: 8x1Gbps,Uroven: bez (pasívny),Vyhot.: proprietárne,VLAN: bez,nemanažovaný,Zaruka: neuvedené"/>
    <n v="28.4"/>
    <n v="2"/>
    <n v="56.8"/>
    <n v="1759.125"/>
    <n v="3923.7249999999999"/>
    <n v="12062.504999999999"/>
  </r>
  <r>
    <n v="648"/>
    <s v="Rámcová dohoda"/>
    <n v="4431412"/>
    <s v="https://crz.gov.sk/4431412"/>
    <s v="https://www.crz.gov.sk/data/att/4431415_dokument1.pdf, https://www.crz.gov.sk/data/att/4431416_dokument1.pdf"/>
    <x v="0"/>
    <s v="Typ: Lenovo ThinkCentre M725s SFF,Proc: 4-jadro passmark 7356,RAM: 8GB,Disk: SSD NVMe 256GB,VGA: zdiel,OS: Win10Pro,klávesnica,myš,DVD,Zaruka: 3+NBD"/>
    <n v="576"/>
    <n v="550"/>
    <n v="316800"/>
    <n v="680"/>
    <n v="991"/>
    <n v="1485.8333333333335"/>
  </r>
  <r>
    <n v="649"/>
    <s v="Rámcová dohoda"/>
    <n v="4431412"/>
    <s v="https://crz.gov.sk/4431412"/>
    <s v="https://www.crz.gov.sk/data/att/4431415_dokument1.pdf, https://www.crz.gov.sk/data/att/4431416_dokument1.pdf"/>
    <x v="0"/>
    <s v="Typ: Lenovo ThinkCentre M725s SFF,Proc: 4-jadro passmark 10185,RAM: 16GB,Disk: SSD NVMe 512GB,VGA: zdiel,OS: Win10Pro,klávesnica,myš,DVD,Zaruka: 3+NBD"/>
    <n v="815.3"/>
    <n v="300"/>
    <n v="244590"/>
    <n v="680"/>
    <n v="991"/>
    <n v="1485.8333333333335"/>
  </r>
  <r>
    <n v="650"/>
    <s v="Rámcová dohoda"/>
    <n v="4431412"/>
    <s v="https://crz.gov.sk/4431412"/>
    <s v="https://www.crz.gov.sk/data/att/4431415_dokument1.pdf, https://www.crz.gov.sk/data/att/4431416_dokument1.pdf"/>
    <x v="2"/>
    <s v="Typ: Lenovo ThinkVision T24d,Rozlisenie: 1920x1080,Frekv: 60 Hz,Velkost: 24&quot;,Kontrast: 1000:1,Vstupy: VGA,DP,HDMI,matný, nastaviteľný,Zaruka: 3"/>
    <n v="183.92"/>
    <n v="620"/>
    <n v="114030.39999999999"/>
    <n v="141.67500000000001"/>
    <n v="194"/>
    <n v="266.75"/>
  </r>
  <r>
    <n v="651"/>
    <s v="Rámcová dohoda"/>
    <n v="4431412"/>
    <s v="https://crz.gov.sk/4431412"/>
    <s v="https://www.crz.gov.sk/data/att/4431415_dokument1.pdf, https://www.crz.gov.sk/data/att/4431416_dokument1.pdf"/>
    <x v="2"/>
    <s v="Typ: Lenovo ThinkVision P27q,Rozlisenie: 2560x1440,Frekv: 60 Hz,Velkost: 27&quot;,Kontrast: 1000:1,Vstupy: miniDP,DP,HDMI,matný, nastaviteľný,Zaruka: 3"/>
    <n v="239"/>
    <n v="600"/>
    <n v="143400"/>
    <n v="141.67500000000001"/>
    <n v="194"/>
    <n v="266.75"/>
  </r>
  <r>
    <n v="652"/>
    <s v="Rámcová dohoda"/>
    <n v="4431412"/>
    <s v="https://crz.gov.sk/4431412"/>
    <s v="https://www.crz.gov.sk/data/att/4431415_dokument1.pdf, https://www.crz.gov.sk/data/att/4431416_dokument1.pdf"/>
    <x v="1"/>
    <s v="Typ: Lenovo ThinkPad L580,Proc.: 4-jadro passmark 7621,RAM: 8GB,Disk: SSD NVMe 256GB,VGA: zdiel.,Disp: FHD,OS: Win10Pro, podsv. klávesnica,DVD,TPM,dokovacia stanica,Zaruka: 3+NBD"/>
    <n v="1129.1099999999999"/>
    <n v="130"/>
    <n v="146784.29999999999"/>
    <n v="783.15"/>
    <n v="1196.3"/>
    <n v="1455.5"/>
  </r>
  <r>
    <n v="653"/>
    <s v="Rámcová dohoda"/>
    <n v="4431412"/>
    <s v="https://crz.gov.sk/4431412"/>
    <s v="https://www.crz.gov.sk/data/att/4431415_dokument1.pdf, https://www.crz.gov.sk/data/att/4431416_dokument1.pdf"/>
    <x v="1"/>
    <s v="Typ: Lenovo ThinkPad T480s,Proc.: 4-jadro passmark 7621,RAM: 8GB,Disk: SSD NVMe 256GB,VGA: zdiel.,Disp: FHD,OS: Win10Pro, podsv. klávesnica,TPM,dokovacia stanica,Zaruka: 3+NBD"/>
    <n v="1432.3"/>
    <n v="50"/>
    <n v="71615"/>
    <n v="783.15"/>
    <n v="1196.3"/>
    <n v="1455.5"/>
  </r>
  <r>
    <n v="654"/>
    <s v="Rámcová dohoda"/>
    <n v="4431412"/>
    <s v="https://crz.gov.sk/4431412"/>
    <s v="https://www.crz.gov.sk/data/att/4431415_dokument1.pdf, https://www.crz.gov.sk/data/att/4431416_dokument1.pdf"/>
    <x v="1"/>
    <s v="Typ: Lenovo ThinkPad P52,Proc.: 6-jadro passmark 14579,RAM: 16GB,Disk: SSD NVMe 512GB+1TB HDD SATA,VGA: nezdiel. 4GB,Disp: FHD,OS: Win10Pro, podsv. klávesnica,TPM,dokovacia stanica,Zaruka: 3+NBD"/>
    <n v="2440.4"/>
    <n v="110"/>
    <n v="268444"/>
    <n v="783.15"/>
    <n v="1196.3"/>
    <n v="1455.5"/>
  </r>
  <r>
    <n v="655"/>
    <s v="Rámcová dohoda"/>
    <n v="4431412"/>
    <s v="https://crz.gov.sk/4431412"/>
    <s v="https://www.crz.gov.sk/data/att/4431415_dokument1.pdf, https://www.crz.gov.sk/data/att/4431416_dokument1.pdf"/>
    <x v="12"/>
    <s v="Typ: Lenovo P10,Proc.: 8-jadro 1.8GHz,RAM: 4GB,Disk: CF 64GB,Disp.: 1920x1200,OS: Android,Fotoaparat 2x,bluetooth,wifi,gps,Zaruka: 2"/>
    <n v="248.16"/>
    <n v="50"/>
    <n v="12408"/>
    <n v="307.64999999999998"/>
    <n v="533.63"/>
    <n v="761.32"/>
  </r>
  <r>
    <n v="656"/>
    <s v="Rámcová dohoda"/>
    <n v="4431412"/>
    <s v="https://crz.gov.sk/4431412"/>
    <s v="https://www.crz.gov.sk/data/att/4431415_dokument1.pdf, https://www.crz.gov.sk/data/att/4431416_dokument1.pdf"/>
    <x v="12"/>
    <s v="Typ: Apple iPad Pro 10.5 wifi + cellular,Proc.: 6-jadro 2.38GHz,RAM: 4GB,Disk: CF 256GB,Disp.: 1668x2224,OS: iOS 10.3.2,Fotoaparat 2x,bluetooth,wifi,gps,LTE,Zaruka: 2"/>
    <n v="902.3"/>
    <n v="15"/>
    <n v="13534.5"/>
    <n v="307.64999999999998"/>
    <n v="533.63"/>
    <n v="761.32"/>
  </r>
  <r>
    <n v="657"/>
    <s v="Rámcová dohoda"/>
    <n v="4431412"/>
    <s v="https://crz.gov.sk/4431412"/>
    <s v="https://www.crz.gov.sk/data/att/4431415_dokument1.pdf, https://www.crz.gov.sk/data/att/4431416_dokument1.pdf"/>
    <x v="12"/>
    <s v="Typ: Lenovo Miix 320 10,Proc.: 4-jadro 1.44GHz,RAM: 4GB,Disk: CF 128GB,Disp.: 1920x1200,OS: Win10Pro,Fotoaparat 2x,bluetooth,wifi,gps,LTE,Zaruka: 2"/>
    <n v="282.5"/>
    <n v="20"/>
    <n v="5650"/>
    <n v="307.64999999999998"/>
    <n v="533.63"/>
    <n v="761.32"/>
  </r>
  <r>
    <n v="658"/>
    <s v="Rámcová dohoda"/>
    <n v="4431412"/>
    <s v="https://crz.gov.sk/4431412"/>
    <s v="https://www.crz.gov.sk/data/att/4431415_dokument1.pdf, https://www.crz.gov.sk/data/att/4431416_dokument1.pdf"/>
    <x v="1"/>
    <s v="Typ: Lenovo ThinkPad X380 Yoga,Proc.: 4-jadro passmark 7600,RAM: 16GB,Disk: SSD NVMe 256GB,VGA: zdiel.,Disp: FHD,OS: Win10Pro, podsv. klávesnica,TPM,dokovacia stanica,Zaruka: 3+NBD"/>
    <n v="1148.42"/>
    <n v="30"/>
    <n v="34452.600000000006"/>
    <n v="783.15"/>
    <n v="1196.3"/>
    <n v="1455.5"/>
  </r>
  <r>
    <n v="659"/>
    <s v="Rámcová dohoda"/>
    <n v="4431412"/>
    <s v="https://crz.gov.sk/4431412"/>
    <s v="https://www.crz.gov.sk/data/att/4431415_dokument1.pdf, https://www.crz.gov.sk/data/att/4431416_dokument1.pdf"/>
    <x v="11"/>
    <s v="Typ: Legrand UPS KEOR SP 1000 VA 6 IEC,Spinanie: line-interactive,Vykon: 600W,Vyhot.: na stôl,Zaruka: 3"/>
    <n v="105.35"/>
    <n v="850"/>
    <n v="89547.5"/>
    <n v="59.227499999999999"/>
    <n v="332.14"/>
    <n v="1331.8050000000001"/>
  </r>
  <r>
    <n v="660"/>
    <s v="Rámcová dohoda"/>
    <n v="4431412"/>
    <s v="https://crz.gov.sk/4431412"/>
    <s v="https://www.crz.gov.sk/data/att/4431415_dokument1.pdf, https://www.crz.gov.sk/data/att/4431416_dokument1.pdf"/>
    <x v="11"/>
    <s v="Typ: Legrand UPS KEOR SP 1500 VA 6 IEC,Spinanie: line-interactive,Vykon: 900W,Vyhot.: na stôl,Zaruka: 3"/>
    <n v="125.3"/>
    <n v="12"/>
    <n v="1503.6"/>
    <n v="59.227499999999999"/>
    <n v="332.14"/>
    <n v="1331.8050000000001"/>
  </r>
  <r>
    <n v="661"/>
    <s v="Rámcová dohoda"/>
    <n v="4431412"/>
    <s v="https://crz.gov.sk/4431412"/>
    <s v="https://www.crz.gov.sk/data/att/4431415_dokument1.pdf, https://www.crz.gov.sk/data/att/4431416_dokument1.pdf"/>
    <x v="14"/>
    <s v="Typ: A-DATA DashDrive Elite HM900,Vyhot.: externý,Kapacita: 3TB,Rozmer: 3,5&quot;,Druh: HDD5400,Rozhranie: USB 3.0,Cache: neuvedené,Zaruka: 3"/>
    <n v="78.900000000000006"/>
    <n v="200"/>
    <n v="15780.000000000002"/>
    <n v="55.5"/>
    <n v="91.88"/>
    <n v="148.36000000000001"/>
  </r>
  <r>
    <n v="662"/>
    <s v="Rámcová dohoda"/>
    <n v="4431412"/>
    <s v="https://crz.gov.sk/4431412"/>
    <s v="https://www.crz.gov.sk/data/att/4431415_dokument1.pdf, https://www.crz.gov.sk/data/att/4431416_dokument1.pdf"/>
    <x v="14"/>
    <s v="Typ: A-DATA DashDrive Durable HD700,Vyhot.: externý,Kapacita: 2TB,Rozmer: 2,5&quot;,Druh: HDD5400,Rozhranie: USB 3.1,Cache: neuvedené,Zaruka: 3"/>
    <n v="69.7"/>
    <n v="200"/>
    <n v="13940"/>
    <n v="55.5"/>
    <n v="91.88"/>
    <n v="148.36000000000001"/>
  </r>
  <r>
    <n v="663"/>
    <s v="Rámcová dohoda"/>
    <n v="4431412"/>
    <s v="https://crz.gov.sk/4431412"/>
    <s v="https://www.crz.gov.sk/data/att/4431415_dokument1.pdf, https://www.crz.gov.sk/data/att/4431416_dokument1.pdf"/>
    <x v="32"/>
    <s v="Typ: A-DATA DashDrive Classic UV131,Kapacita: 16GB,Rozhranie: USB 3.0,Zaruka: 5"/>
    <n v="4.0999999999999996"/>
    <n v="350"/>
    <n v="1434.9999999999998"/>
    <n v="4.9000000000000004"/>
    <n v="8.4"/>
    <n v="14"/>
  </r>
  <r>
    <n v="664"/>
    <s v="Rámcová dohoda"/>
    <n v="4431412"/>
    <s v="https://crz.gov.sk/4431412"/>
    <s v="https://www.crz.gov.sk/data/att/4431415_dokument1.pdf, https://www.crz.gov.sk/data/att/4431416_dokument1.pdf"/>
    <x v="32"/>
    <s v="Typ: A-DATA DashDrive Classic UV131,Kapacita: 32GB,Rozhranie: USB 3.0,Zaruka: 5"/>
    <n v="5.2"/>
    <n v="350"/>
    <n v="1820"/>
    <n v="4.9000000000000004"/>
    <n v="8.4"/>
    <n v="14"/>
  </r>
  <r>
    <n v="665"/>
    <s v="Rámcová dohoda"/>
    <n v="4431412"/>
    <s v="https://crz.gov.sk/4431412"/>
    <s v="https://www.crz.gov.sk/data/att/4431415_dokument1.pdf, https://www.crz.gov.sk/data/att/4431416_dokument1.pdf"/>
    <x v="32"/>
    <s v="Typ: A-DATA DashDrive Classic UV131,Kapacita: 64GB,Rozhranie: USB 3.0,Zaruka: 5"/>
    <n v="9.6999999999999993"/>
    <n v="300"/>
    <n v="2910"/>
    <n v="4.9000000000000004"/>
    <n v="8.4"/>
    <n v="14"/>
  </r>
  <r>
    <n v="666"/>
    <s v="Rámcová dohoda"/>
    <n v="4431412"/>
    <s v="https://crz.gov.sk/4431412"/>
    <s v="https://www.crz.gov.sk/data/att/4431415_dokument1.pdf, https://www.crz.gov.sk/data/att/4431416_dokument1.pdf"/>
    <x v="32"/>
    <s v="Typ: Kingston DataTraveler Elite G2,Kapacita: 128GB,Rozhranie: USB 3.1,Zaruka: 5"/>
    <n v="40.200000000000003"/>
    <n v="300"/>
    <n v="12060"/>
    <n v="4.9000000000000004"/>
    <n v="8.4"/>
    <n v="14"/>
  </r>
  <r>
    <n v="667"/>
    <s v="Rámcová dohoda"/>
    <n v="4431412"/>
    <s v="https://crz.gov.sk/4431412"/>
    <s v="https://www.crz.gov.sk/data/att/4431415_dokument1.pdf, https://www.crz.gov.sk/data/att/4431416_dokument1.pdf"/>
    <x v="37"/>
    <s v="Typ: Canyon CNE-CARD2,Podp. karty: all-in-one 20 typov,Rozhranie: USB 2.0,Zaruka: neuvedené"/>
    <n v="4.55"/>
    <n v="50"/>
    <n v="227.5"/>
    <n v="4.8"/>
    <n v="6.58"/>
    <n v="6.9"/>
  </r>
  <r>
    <n v="668"/>
    <s v="Rámcová dohoda"/>
    <n v="4431412"/>
    <s v="https://crz.gov.sk/4431412"/>
    <s v="https://www.crz.gov.sk/data/att/4431415_dokument1.pdf, https://www.crz.gov.sk/data/att/4431416_dokument1.pdf"/>
    <x v="30"/>
    <s v="Typ: LiteOn DVDRW UltraSlim,Vyhot.: externá,Media: CD,CD-R,CD-RW,DVD,DVD-RW,DVD-R+,DVD-R-,Rychlost: 24x,Rozhranie: USB 2.0,Zaruka: neuvedené"/>
    <n v="17.2"/>
    <n v="50"/>
    <n v="860"/>
    <n v="14.8"/>
    <n v="19.5"/>
    <n v="31.25"/>
  </r>
  <r>
    <n v="669"/>
    <s v="Rámcová dohoda"/>
    <n v="4431412"/>
    <s v="https://crz.gov.sk/4431412"/>
    <s v="https://www.crz.gov.sk/data/att/4431415_dokument1.pdf, https://www.crz.gov.sk/data/att/4431416_dokument1.pdf"/>
    <x v="30"/>
    <s v="Typ: LiteOn DVDRW Super Multi,Vyhot.: interná,Media: CD,CD-R,CD-RW,DVD,DVD-RW,DVD-R+,DVD-R-,Rychlost: 24x,Rozhranie: SATA,Zaruka: neuvedené"/>
    <n v="10.5"/>
    <n v="10"/>
    <n v="105"/>
    <n v="14.8"/>
    <n v="19.5"/>
    <n v="31.25"/>
  </r>
  <r>
    <n v="670"/>
    <s v="Rámcová dohoda"/>
    <n v="4431412"/>
    <s v="https://crz.gov.sk/4431412"/>
    <s v="https://www.crz.gov.sk/data/att/4431415_dokument1.pdf, https://www.crz.gov.sk/data/att/4431416_dokument1.pdf"/>
    <x v="39"/>
    <s v="Typ: Canyon CNE-CKEY2-SK,Pripoj.: drôtová,Rozlozenie: SK,Rozhranie: USB,Zaruka: neuvedené"/>
    <n v="3.5"/>
    <n v="300"/>
    <n v="1050"/>
    <n v="5.1899999999999995"/>
    <n v="8.5"/>
    <n v="21.95"/>
  </r>
  <r>
    <n v="671"/>
    <s v="Rámcová dohoda"/>
    <n v="4431412"/>
    <s v="https://crz.gov.sk/4431412"/>
    <s v="https://www.crz.gov.sk/data/att/4431415_dokument1.pdf, https://www.crz.gov.sk/data/att/4431416_dokument1.pdf"/>
    <x v="39"/>
    <s v="Typ: Canyon CNS-HKB2-CS,Pripoj.: drôtová,Rozlozenie: SK+CZ,Rozhranie: USB,Zaruka: neuvedené"/>
    <n v="6.8"/>
    <n v="100"/>
    <n v="680"/>
    <n v="5.1899999999999995"/>
    <n v="8.5"/>
    <n v="21.95"/>
  </r>
  <r>
    <n v="672"/>
    <s v="Rámcová dohoda"/>
    <n v="4431412"/>
    <s v="https://crz.gov.sk/4431412"/>
    <s v="https://www.crz.gov.sk/data/att/4431415_dokument1.pdf, https://www.crz.gov.sk/data/att/4431416_dokument1.pdf"/>
    <x v="38"/>
    <s v="Typ: Canyon CNE-CMS1,Technol.: optická drôtová,Rozlisenie: 800DPI,Rozhranie: USB,Zaruka: neuvedené"/>
    <n v="1.85"/>
    <n v="300"/>
    <n v="555"/>
    <n v="4.25"/>
    <n v="6.12"/>
    <n v="13.55"/>
  </r>
  <r>
    <n v="673"/>
    <s v="Rámcová dohoda"/>
    <n v="4431412"/>
    <s v="https://crz.gov.sk/4431412"/>
    <s v="https://www.crz.gov.sk/data/att/4431415_dokument1.pdf, https://www.crz.gov.sk/data/att/4431416_dokument1.pdf"/>
    <x v="38"/>
    <s v="Typ: Canyon CNE-CMS2,Technol.: optická drôtová,Rozlisenie: 800DPI,Rozhranie: USB,Zaruka: neuvedené"/>
    <n v="2.4"/>
    <n v="100"/>
    <n v="240"/>
    <n v="4.25"/>
    <n v="6.12"/>
    <n v="13.55"/>
  </r>
  <r>
    <n v="674"/>
    <s v="Rámcová dohoda"/>
    <n v="4431412"/>
    <s v="https://crz.gov.sk/4431412"/>
    <s v="https://www.crz.gov.sk/data/att/4431415_dokument1.pdf, https://www.crz.gov.sk/data/att/4431416_dokument1.pdf"/>
    <x v="42"/>
    <s v="Typ: JBL EXTREME 2 black,Kanaly: 2,Vykon: 40W,Pripojenie: bluetooth,jack,Korekcie: nie,Bat.: 10000 mAh,Zaruka: neuvedené"/>
    <n v="84.5"/>
    <n v="68"/>
    <n v="5746"/>
    <n v="28.484999999999999"/>
    <n v="48.75"/>
    <n v="71.75"/>
  </r>
  <r>
    <n v="675"/>
    <s v="Rámcová dohoda"/>
    <n v="4431412"/>
    <s v="https://crz.gov.sk/4431412"/>
    <s v="https://www.crz.gov.sk/data/att/4431415_dokument1.pdf, https://www.crz.gov.sk/data/att/4431416_dokument1.pdf"/>
    <x v="42"/>
    <s v="Typ: Creative GigaWorks T20 II 2.0,Kanaly: 2,Vykon: 2x10W,Pripojenie:jack,Korekcie: hĺbky,Bat.: nie,Zaruka: 2"/>
    <n v="67.5"/>
    <n v="43"/>
    <n v="2902.5"/>
    <n v="28.484999999999999"/>
    <n v="48.75"/>
    <n v="71.75"/>
  </r>
  <r>
    <n v="676"/>
    <s v="Rámcová dohoda"/>
    <n v="4431412"/>
    <s v="https://crz.gov.sk/4431412"/>
    <s v="https://www.crz.gov.sk/data/att/4431415_dokument1.pdf, https://www.crz.gov.sk/data/att/4431416_dokument1.pdf"/>
    <x v="16"/>
    <s v="Typ: Lenovo,Druh: DIMM,Kapacita: 4GB,Generacia: DDR4,Frekv.: 2666MHz,Zaruka: 1"/>
    <n v="76"/>
    <n v="100"/>
    <n v="7600"/>
    <n v="22.082500000000003"/>
    <n v="31.15"/>
    <n v="48.125"/>
  </r>
  <r>
    <n v="677"/>
    <s v="Rámcová dohoda"/>
    <n v="4431412"/>
    <s v="https://crz.gov.sk/4431412"/>
    <s v="https://www.crz.gov.sk/data/att/4431415_dokument1.pdf, https://www.crz.gov.sk/data/att/4431416_dokument1.pdf"/>
    <x v="26"/>
    <s v="Typ: Lenovo,Druh: DIMM,Kapacita: 8GB,Generacia: DDR4,Frekv.: 2666MHz,Zaruka: neuvedené"/>
    <n v="140"/>
    <n v="250"/>
    <n v="35000"/>
    <n v="279"/>
    <n v="358.2"/>
    <n v="705"/>
  </r>
  <r>
    <n v="678"/>
    <s v="Rámcová dohoda"/>
    <n v="4431412"/>
    <s v="https://crz.gov.sk/4431412"/>
    <s v="https://www.crz.gov.sk/data/att/4431415_dokument1.pdf, https://www.crz.gov.sk/data/att/4431416_dokument1.pdf"/>
    <x v="26"/>
    <s v="Typ: Lenovo,Druh: DIMM,Kapacita: 16GB,Generacia: DDR4,Frekv.: 2666MHz,Zaruka: neuvedené"/>
    <n v="279"/>
    <n v="300"/>
    <n v="83700"/>
    <n v="279"/>
    <n v="358.2"/>
    <n v="705"/>
  </r>
  <r>
    <n v="679"/>
    <s v="Rámcová dohoda"/>
    <n v="4431412"/>
    <s v="https://crz.gov.sk/4431412"/>
    <s v="https://www.crz.gov.sk/data/att/4431415_dokument1.pdf, https://www.crz.gov.sk/data/att/4431416_dokument1.pdf"/>
    <x v="16"/>
    <s v="Typ: Lenovo,Druh: SO-DIMM,Kapacita: 4GB,Generacia: DDR4,Frekv.: 2400MHz,Zaruka: 1"/>
    <n v="69"/>
    <n v="100"/>
    <n v="6900"/>
    <n v="22.082500000000003"/>
    <n v="31.15"/>
    <n v="48.125"/>
  </r>
  <r>
    <n v="680"/>
    <s v="Rámcová dohoda"/>
    <n v="4431412"/>
    <s v="https://crz.gov.sk/4431412"/>
    <s v="https://www.crz.gov.sk/data/att/4431415_dokument1.pdf, https://www.crz.gov.sk/data/att/4431416_dokument1.pdf"/>
    <x v="16"/>
    <s v="Typ: Lenovo,Druh: SO-DIMM,Kapacita: 8GB,Generacia: DDR4,Frekv.: 2400MHz,Zaruka: 1"/>
    <n v="124"/>
    <n v="150"/>
    <n v="18600"/>
    <n v="22.082500000000003"/>
    <n v="31.15"/>
    <n v="48.125"/>
  </r>
  <r>
    <n v="681"/>
    <s v="Rámcová dohoda"/>
    <n v="4431412"/>
    <s v="https://crz.gov.sk/4431412"/>
    <s v="https://www.crz.gov.sk/data/att/4431415_dokument1.pdf, https://www.crz.gov.sk/data/att/4431416_dokument1.pdf"/>
    <x v="16"/>
    <s v="Typ: Lenovo,Druh: SO-DIMM,Kapacita: 16GB,Generacia: DDR4,Frekv.: 2400MHz,Zaruka: 1"/>
    <n v="239"/>
    <n v="200"/>
    <n v="47800"/>
    <n v="22.082500000000003"/>
    <n v="31.15"/>
    <n v="48.125"/>
  </r>
  <r>
    <n v="682"/>
    <s v="Rámcová dohoda"/>
    <n v="4431412"/>
    <s v="https://crz.gov.sk/4431412"/>
    <s v="https://www.crz.gov.sk/data/att/4431415_dokument1.pdf, https://www.crz.gov.sk/data/att/4431416_dokument1.pdf"/>
    <x v="14"/>
    <s v="Typ: WD Blue,Vyhot.: interný,Kapacita: 500GB,Rozmer: 3,5&quot;,Druh: HDD7200,Rozhranie: SATA 6Gb/s,Cache: 64MB,Zaruka: 2"/>
    <n v="40.9"/>
    <n v="200"/>
    <n v="8180"/>
    <n v="55.5"/>
    <n v="91.88"/>
    <n v="148.36000000000001"/>
  </r>
  <r>
    <n v="683"/>
    <s v="Rámcová dohoda"/>
    <n v="4431412"/>
    <s v="https://crz.gov.sk/4431412"/>
    <s v="https://www.crz.gov.sk/data/att/4431415_dokument1.pdf, https://www.crz.gov.sk/data/att/4431416_dokument1.pdf"/>
    <x v="14"/>
    <s v="Typ: A-DATA SU800 series,Vyhot.: interný,Kapacita: 512GB,Rozmer: 2,5&quot;,Druh: SSD,Rozhranie: SATA 6Gb/s,Cache: bez,Zaruka: 3"/>
    <n v="60.85"/>
    <n v="1000"/>
    <n v="60850"/>
    <n v="55.5"/>
    <n v="91.88"/>
    <n v="148.36000000000001"/>
  </r>
  <r>
    <n v="684"/>
    <s v="Rámcová dohoda"/>
    <n v="4431412"/>
    <s v="https://crz.gov.sk/4431412"/>
    <s v="https://www.crz.gov.sk/data/att/4431415_dokument1.pdf, https://www.crz.gov.sk/data/att/4431416_dokument1.pdf"/>
    <x v="13"/>
    <s v="Typ: HP Designjet T1700dr, 44&quot;,Technologia: termálna atramentová,Farba: áno,Formaty: A0,Rozhrania: USB, ethernet,RAM: 128GB,Pam. karta: HDD500GB,Zasobnik: rolka/automatická rezačka,Rozlisenie: 2400x1200dpi,Zaruka: 3+4hod"/>
    <n v="6950.8"/>
    <n v="6"/>
    <n v="41704.800000000003"/>
    <n v="1383.98"/>
    <n v="1866.7"/>
    <n v="4574.5833333333339"/>
  </r>
  <r>
    <n v="685"/>
    <s v="Rámcová dohoda"/>
    <n v="4431412"/>
    <s v="https://crz.gov.sk/4431412"/>
    <s v="https://www.crz.gov.sk/data/att/4431415_dokument1.pdf, https://www.crz.gov.sk/data/att/4431416_dokument1.pdf"/>
    <x v="6"/>
    <s v="Typ: HP Scanjet Enterprise Flow N9120fn2, Format: A3, Rozlisenie: 600dpi, Zasobnik: áno,Zaruka: 3+NBD"/>
    <n v="4281.3"/>
    <n v="2"/>
    <n v="8562.6"/>
    <n v="112.19999999999999"/>
    <n v="252"/>
    <n v="2310"/>
  </r>
  <r>
    <n v="686"/>
    <s v="Rámcová dohoda"/>
    <n v="4431412"/>
    <s v="https://crz.gov.sk/4431412"/>
    <s v="https://www.crz.gov.sk/data/att/4431415_dokument1.pdf, https://www.crz.gov.sk/data/att/4431416_dokument1.pdf"/>
    <x v="6"/>
    <s v="Typ: HP ScanJet Enterprise Flow 5000 s4, Format: A4, Rozlisenie: 600dpi, Zasobnik: áno,Zaruka: 3+NBD"/>
    <n v="845.33"/>
    <n v="55"/>
    <n v="46493.15"/>
    <n v="112.19999999999999"/>
    <n v="252"/>
    <n v="2310"/>
  </r>
  <r>
    <n v="687"/>
    <s v="Rámcová dohoda"/>
    <n v="4431412"/>
    <s v="https://crz.gov.sk/4431412"/>
    <s v="https://www.crz.gov.sk/data/att/4431415_dokument1.pdf, https://www.crz.gov.sk/data/att/4431416_dokument1.pdf"/>
    <x v="3"/>
    <s v="Typ: HP LaserJet Pro M402dne,Technologia: laser,Farba: nie,Formaty: A4,Rozhrania: USB, ethernet, wifi,RAM: neuvedené, Pam. Karta: neuvedené,Zasobnik: 250,Rozlisenie: 1200dpi,Duplex: áno,Zaruka: 3+NBD"/>
    <n v="267.2"/>
    <n v="150"/>
    <n v="40080"/>
    <n v="229.78"/>
    <n v="424.2"/>
    <n v="1030.3"/>
  </r>
  <r>
    <n v="688"/>
    <s v="Rámcová dohoda"/>
    <n v="4431412"/>
    <s v="https://crz.gov.sk/4431412"/>
    <s v="https://www.crz.gov.sk/data/att/4431415_dokument1.pdf, https://www.crz.gov.sk/data/att/4431416_dokument1.pdf"/>
    <x v="3"/>
    <s v="Typ: HP Color LaserJet Pro M452dn,Technologia: laser,Farba: áno,Formaty: A4,Rozhrania: USB, ethernet, wifi,RAM: neuvedené, Pam. Karta: neuvedené,Zasobnik: 250,Rozlisenie: 600dpi,Duplex: áno,Zaruka: 3+NBD"/>
    <n v="312.42"/>
    <n v="100"/>
    <n v="31242"/>
    <n v="229.78"/>
    <n v="424.2"/>
    <n v="1030.3"/>
  </r>
  <r>
    <n v="689"/>
    <s v="Rámcová dohoda"/>
    <n v="4431412"/>
    <s v="https://crz.gov.sk/4431412"/>
    <s v="https://www.crz.gov.sk/data/att/4431415_dokument1.pdf, https://www.crz.gov.sk/data/att/4431416_dokument1.pdf"/>
    <x v="4"/>
    <s v="Typ: HP LaserJet Enterprise M527f,Technologia: laser,Farba: nie,Formaty: A4,Rozhrania: USB, ethernet,RAM: 1.75GB,Pam. karta: neuvedené,Zasobnik: 550,R. tlace: 1200dpi,R. kopirky: 600dpi,R. skenera: 600dpi,Duplex: áno,Zaruka: 3+NBD"/>
    <n v="1749.2"/>
    <n v="50"/>
    <n v="87460"/>
    <n v="393.94499999999999"/>
    <n v="710.01499999999999"/>
    <n v="2552.0574999999999"/>
  </r>
  <r>
    <n v="690"/>
    <s v="Rámcová dohoda"/>
    <n v="4431412"/>
    <s v="https://crz.gov.sk/4431412"/>
    <s v="https://www.crz.gov.sk/data/att/4431415_dokument1.pdf, https://www.crz.gov.sk/data/att/4431416_dokument1.pdf"/>
    <x v="4"/>
    <s v="Typ: HP PageWide Pro 772dn,Technologia: laser,Farba: áno,Formaty: A3,Rozhrania: USB, ethernet,RAM: 1536MB,Pam. karta: HDD16GB,Zasobnik: 250,R. tlace: 600dpi,R. kopirky: 600dpi,R. skenera: 600dpi,Duplex: áno,Zaruka: 3+NBD"/>
    <n v="2760.3"/>
    <n v="50"/>
    <n v="138015"/>
    <n v="393.94499999999999"/>
    <n v="710.01499999999999"/>
    <n v="2552.0574999999999"/>
  </r>
  <r>
    <n v="691"/>
    <s v="Rámcová dohoda"/>
    <n v="4431412"/>
    <s v="https://crz.gov.sk/4431412"/>
    <s v="https://www.crz.gov.sk/data/att/4431415_dokument1.pdf, https://www.crz.gov.sk/data/att/4431416_dokument1.pdf"/>
    <x v="3"/>
    <s v="Typ:TSC TX600 + LCD,Technologia: termotlač,Farba: nie,Formaty: 112x106mm štítky,Rozhrania: USB, RS-232, ethernet,RAM: 128MB, Pam. Karta: 128MB,Zasobnik: páska,Rozlisenie: 600dpi,Duplex: -,Zaruka: neuvedené"/>
    <n v="1030.3"/>
    <n v="10"/>
    <n v="10303"/>
    <n v="229.78"/>
    <n v="424.2"/>
    <n v="1030.3"/>
  </r>
  <r>
    <n v="692"/>
    <s v="Rámcová dohoda"/>
    <n v="4431412"/>
    <s v="https://crz.gov.sk/4431412"/>
    <s v="https://www.crz.gov.sk/data/att/4431415_dokument1.pdf, https://www.crz.gov.sk/data/att/4431416_dokument1.pdf"/>
    <x v="4"/>
    <s v="Typ: HP Color LaserJet Enterprise flow M880z + Výrobník/dokončovač brožúr HP Color LaserJet s 2/4 dierovačom,Technologia: laser,Farba: áno,Formaty: A3,Rozhrania: USB, ethernet, FIH, HIP,RAM: 2500MB,Pam. karta: HDD320GB,Zasobnik: 2x500+4100+3000výst,R. tlace: 1200dpi,R. kopirky: 600dpi,R. skenera: 600dpi,Duplex: áno,zošívačka, dierovačka,Zaruka: neuvedené"/>
    <n v="13130.9"/>
    <n v="3"/>
    <n v="39392.699999999997"/>
    <n v="393.94499999999999"/>
    <n v="710.01499999999999"/>
    <n v="2552.0574999999999"/>
  </r>
  <r>
    <n v="693"/>
    <s v="Rámcová dohoda"/>
    <n v="4431412"/>
    <s v="https://crz.gov.sk/4431412"/>
    <s v="https://www.crz.gov.sk/data/att/4431415_dokument1.pdf, https://www.crz.gov.sk/data/att/4431416_dokument1.pdf"/>
    <x v="10"/>
    <s v="Typ: HPE G2 Enterprise Shock Rack, Vyska: 42U stojaci, Zaruka: neuvedené"/>
    <n v="3845.81"/>
    <n v="2"/>
    <n v="7691.62"/>
    <n v="98.7"/>
    <n v="172.56"/>
    <n v="2312.5"/>
  </r>
  <r>
    <n v="694"/>
    <s v="Rámcová dohoda"/>
    <n v="4431412"/>
    <s v="https://crz.gov.sk/4431412"/>
    <s v="https://www.crz.gov.sk/data/att/4431415_dokument1.pdf, https://www.crz.gov.sk/data/att/4431416_dokument1.pdf"/>
    <x v="43"/>
    <s v="Typ: HPE SimpliVity 380 Gen10 Node,Proc: 2x Intel Xeon-Silver 4110 2x8-core 2.1GHz,RAM: 288GB,Disk: 2xSSD pre OS + 5x1.92TB SSD v RAID5,Radic: RAID0-6 SAS/SATA,Ethernet: 1x10Gbps + 4x 1Gbps + 1 x 1Gbps pre remote manažment,GPU: Zdiel.,Vyhotovenie: 2U,OS nezávislý systém manažment,DVD-RW,Zaruka: 3+24/7"/>
    <n v="70059.56"/>
    <n v="8"/>
    <n v="560476.48"/>
    <n v="70059.56"/>
    <n v="70059.56"/>
    <n v="70059.56"/>
  </r>
  <r>
    <n v="695"/>
    <s v="Rámcová dohoda"/>
    <n v="4431412"/>
    <s v="https://crz.gov.sk/4431412"/>
    <s v="https://www.crz.gov.sk/data/att/4431415_dokument1.pdf, https://www.crz.gov.sk/data/att/4431416_dokument1.pdf"/>
    <x v="8"/>
    <s v="Typ: HPE Proliant DL360 Gen10 8SFF,Proc: 2x Intel Xeon-Silver 4110 2x8-core 2.1GHz,RAM: 32GB,Disk: 2x240GB SSD SATA,Radic: RAID0-6 8xSAS/SATA/SSD hotswap,Ethernet: 10x1Gbps + 4x 1Gbps,GPU: zdiel.,Vyhotovenie: 1U,OS nezávislý systém manažment,DVD-RW,Zaruka: 3+4hod+24/7"/>
    <n v="7983.76"/>
    <n v="3"/>
    <n v="23951.279999999999"/>
    <n v="7209.15"/>
    <n v="15534.78"/>
    <n v="29950.799999999999"/>
  </r>
  <r>
    <n v="696"/>
    <s v="Rámcová dohoda"/>
    <n v="4431412"/>
    <s v="https://crz.gov.sk/4431412"/>
    <s v="https://www.crz.gov.sk/data/att/4431415_dokument1.pdf, https://www.crz.gov.sk/data/att/4431416_dokument1.pdf"/>
    <x v="44"/>
    <s v="Typ: HPE StoreEver MSL2024 0-drive Tape Library,Technol.: pásková knižnica,Vyhotovenie: rackmount,Medium: pásky &gt;6TB RW WORM,Pocet_mech.: 2,Pocet_kap_media: 24x15TB + 1x cistiace,Komp_rozhrania: SAS, FC,Zaruka: 3+4hod+24/7"/>
    <n v="8163.93"/>
    <n v="2"/>
    <n v="16327.86"/>
    <n v="11441.9125"/>
    <n v="24241.455000000002"/>
    <n v="41877.177500000005"/>
  </r>
  <r>
    <n v="697"/>
    <s v="Rámcová dohoda"/>
    <n v="4431412"/>
    <s v="https://crz.gov.sk/4431412"/>
    <s v="https://www.crz.gov.sk/data/att/4431415_dokument1.pdf, https://www.crz.gov.sk/data/att/4431416_dokument1.pdf"/>
    <x v="9"/>
    <s v="Typ: HP MSA2052,Technol.: iSCSI/FC,Radic: 2xRAID5-10,Cache: 2x8GB,Disky: 22x 1.8TB 12G SAS HDD 10000RPM,Porty: neuvedené,Vyhotovenie: rackmount,4x1Gb + 2x10Gb LAN,vzdialený prístup,Zaruka: 3+4hod+24/7"/>
    <n v="36283.879999999997"/>
    <n v="2"/>
    <n v="72567.759999999995"/>
    <n v="2032"/>
    <n v="19360"/>
    <n v="87628.37"/>
  </r>
  <r>
    <n v="698"/>
    <s v="Rámcová dohoda"/>
    <n v="4431412"/>
    <s v="https://crz.gov.sk/4431412"/>
    <s v="https://www.crz.gov.sk/data/att/4431415_dokument1.pdf, https://www.crz.gov.sk/data/att/4431416_dokument1.pdf"/>
    <x v="5"/>
    <s v="Rozšír. Polica k disk. Poľu SFF,Typ: HP MSA 2050 SFF Disk Enclosure,Kompat_pole: HP MSA2052"/>
    <n v="2113.54"/>
    <n v="2"/>
    <n v="4227.08"/>
    <n v="17.549999999999997"/>
    <n v="275.8"/>
    <n v="11191.057499999999"/>
  </r>
  <r>
    <n v="699"/>
    <s v="Rámcová dohoda"/>
    <n v="4431412"/>
    <s v="https://crz.gov.sk/4431412"/>
    <s v="https://www.crz.gov.sk/data/att/4431415_dokument1.pdf, https://www.crz.gov.sk/data/att/4431416_dokument1.pdf"/>
    <x v="5"/>
    <s v="Rozšír. Polica k disk. Poľu LFF,Typ: HP MSA 2050 LFF Disk Enclosure,Kompat_pole: HP MSA2052"/>
    <n v="2175.75"/>
    <n v="2"/>
    <n v="4351.5"/>
    <n v="17.549999999999997"/>
    <n v="275.8"/>
    <n v="11191.057499999999"/>
  </r>
  <r>
    <n v="700"/>
    <s v="Rámcová dohoda"/>
    <n v="4431412"/>
    <s v="https://crz.gov.sk/4431412"/>
    <s v="https://www.crz.gov.sk/data/att/4431415_dokument1.pdf, https://www.crz.gov.sk/data/att/4431416_dokument1.pdf"/>
    <x v="45"/>
    <s v="Typ: HPE G2 Basic Vertical,Vykon: 3.6kVA,Pocet_faz: 1,Vyhot.: rackmount, kompat s UPS 5000VA,Zaruka: neuvedené"/>
    <n v="153.72999999999999"/>
    <n v="4"/>
    <n v="614.91999999999996"/>
    <n v="153.72999999999999"/>
    <n v="153.72999999999999"/>
    <n v="153.72999999999999"/>
  </r>
  <r>
    <n v="701"/>
    <s v="Rámcová dohoda"/>
    <n v="4431412"/>
    <s v="https://crz.gov.sk/4431412"/>
    <s v="https://www.crz.gov.sk/data/att/4431415_dokument1.pdf, https://www.crz.gov.sk/data/att/4431416_dokument1.pdf"/>
    <x v="11"/>
    <s v="Typ: HPE R5000 3U,Spinanie: online,Vykon: 4,5kW,Vyhot.: 3U,Zaruka: 3"/>
    <n v="2733.39"/>
    <n v="4"/>
    <n v="10933.56"/>
    <n v="59.227499999999999"/>
    <n v="332.14"/>
    <n v="1331.8050000000001"/>
  </r>
  <r>
    <n v="702"/>
    <s v="Rámcová dohoda"/>
    <n v="4431412"/>
    <s v="https://crz.gov.sk/4431412"/>
    <s v="https://www.crz.gov.sk/data/att/4431415_dokument1.pdf, https://www.crz.gov.sk/data/att/4431416_dokument1.pdf"/>
    <x v="14"/>
    <s v="Typ: HPE MSA Mixed use SFF,Vyhot.: interný pre diskové pole,Kapacita: 800GB,Rozmer: 2,5&quot;,Druh: SSD,Rozhranie: SAS 12Gb/s,Cache: bez,Zaruka: neuvedené"/>
    <n v="2353.1"/>
    <n v="6"/>
    <n v="14118.599999999999"/>
    <n v="55.5"/>
    <n v="91.88"/>
    <n v="148.36000000000001"/>
  </r>
  <r>
    <n v="703"/>
    <s v="Rámcová dohoda"/>
    <n v="4431412"/>
    <s v="https://crz.gov.sk/4431412"/>
    <s v="https://www.crz.gov.sk/data/att/4431415_dokument1.pdf, https://www.crz.gov.sk/data/att/4431416_dokument1.pdf"/>
    <x v="14"/>
    <s v="Typ: HPE MSA SFF 512e Enterprise,Vyhot.: interný pre diskové pole,Kapacita: 1.8TB,Rozmer: 2,5&quot;,Druh: HDD10000,Rozhranie: SAS 12Gb/s,Cache: neuvedené,Zaruka: neuvedené"/>
    <n v="910.33"/>
    <n v="66"/>
    <n v="60081.780000000006"/>
    <n v="55.5"/>
    <n v="91.88"/>
    <n v="148.36000000000001"/>
  </r>
  <r>
    <n v="704"/>
    <s v="Rámcová dohoda"/>
    <n v="4431412"/>
    <s v="https://crz.gov.sk/4431412"/>
    <s v="https://www.crz.gov.sk/data/att/4431415_dokument1.pdf, https://www.crz.gov.sk/data/att/4431416_dokument1.pdf"/>
    <x v="14"/>
    <s v="Typ: HPE MSA LFF Midline,Vyhot.: interný pre diskové pole,Kapacita: 4TB,Rozmer: 3,5&quot;,Druh: HDD7200,Rozhranie: SAS 12Gb/s,Cache: neuvedené,Zaruka: neuvedené"/>
    <n v="518.38"/>
    <n v="24"/>
    <n v="12441.119999999999"/>
    <n v="55.5"/>
    <n v="91.88"/>
    <n v="148.36000000000001"/>
  </r>
  <r>
    <n v="705"/>
    <s v="Rámcová dohoda"/>
    <n v="4431412"/>
    <s v="https://crz.gov.sk/4431412"/>
    <s v="https://www.crz.gov.sk/data/att/4431415_dokument1.pdf, https://www.crz.gov.sk/data/att/4431416_dokument1.pdf"/>
    <x v="14"/>
    <s v="Typ: HPE SFF 512e Enterprise,Vyhot.: interný pre diskové pole,Kapacita: 1.8TB,Rozmer: 2,5&quot;,Druh: HDD10000,Rozhranie: SAS 12Gb/s,Cache: neuvedené,Zaruka: 3"/>
    <n v="693.55"/>
    <n v="20"/>
    <n v="13871"/>
    <n v="55.5"/>
    <n v="91.88"/>
    <n v="148.36000000000001"/>
  </r>
  <r>
    <n v="706"/>
    <s v="Rámcová dohoda"/>
    <n v="4431412"/>
    <s v="https://crz.gov.sk/4431412"/>
    <s v="https://www.crz.gov.sk/data/att/4431415_dokument1.pdf, https://www.crz.gov.sk/data/att/4431416_dokument1.pdf"/>
    <x v="26"/>
    <s v="Typ: HPE Single Rank,Druh: DIMM kit,Kapacita: 16GB,Generacia: DDR4,Frekv.: 2666MHz,Zaruka: neuvedené"/>
    <n v="358.2"/>
    <n v="26"/>
    <n v="9313.1999999999989"/>
    <n v="279"/>
    <n v="358.2"/>
    <n v="705"/>
  </r>
  <r>
    <n v="707"/>
    <s v="Rámcová dohoda"/>
    <n v="4431412"/>
    <s v="https://crz.gov.sk/4431412"/>
    <s v="https://www.crz.gov.sk/data/att/4431415_dokument1.pdf, https://www.crz.gov.sk/data/att/4431416_dokument1.pdf"/>
    <x v="46"/>
    <s v="Typ: HPE MSA 16Gb Short Wave Fibre Channel SFP+ 4-pack Transceiver,Kanaly: 4,Kapacita: 16Gbps,Zaruka: 3+4hod+bezplatný servis"/>
    <n v="993.88"/>
    <n v="3"/>
    <n v="2981.64"/>
    <n v="1308.4649999999999"/>
    <n v="1623.05"/>
    <n v="3942.2"/>
  </r>
  <r>
    <n v="708"/>
    <s v="Rámcová dohoda"/>
    <n v="4431412"/>
    <s v="https://crz.gov.sk/4431412"/>
    <s v="https://www.crz.gov.sk/data/att/4431415_dokument1.pdf, https://www.crz.gov.sk/data/att/4431416_dokument1.pdf"/>
    <x v="46"/>
    <s v="Typ: HPE StoreFabric SN1100Q,Kanaly: 2,Kapacita: 16Gbps,Zaruka: neuvedené"/>
    <n v="1623.05"/>
    <n v="3"/>
    <n v="4869.1499999999996"/>
    <n v="1308.4649999999999"/>
    <n v="1623.05"/>
    <n v="3942.2"/>
  </r>
  <r>
    <n v="709"/>
    <s v="Rámcová dohoda"/>
    <n v="4431412"/>
    <s v="https://crz.gov.sk/4431412"/>
    <s v="https://www.crz.gov.sk/data/att/4431415_dokument1.pdf, https://www.crz.gov.sk/data/att/4431416_dokument1.pdf"/>
    <x v="23"/>
    <s v="Typ: HPE 562T adapter,Rozhranie: PCIe 3.0 x4,Rychlost: 10Gbps,Zaruka: neuvedené"/>
    <n v="614.9"/>
    <n v="2"/>
    <n v="1229.8"/>
    <n v="9.8249999999999993"/>
    <n v="21.14"/>
    <n v="248.75"/>
  </r>
  <r>
    <n v="710"/>
    <s v="Rámcová dohoda"/>
    <n v="4431412"/>
    <s v="https://crz.gov.sk/4431412"/>
    <s v="https://www.crz.gov.sk/data/att/4431415_dokument1.pdf, https://www.crz.gov.sk/data/att/4431416_dokument1.pdf"/>
    <x v="5"/>
    <s v="Rozšírenie pre zálohovacie páskové zariadenie,Typ: HPE StoreEver MSL LTO-7 Ultrium 15000 FC Drive Upgrade kit,Funkcie: LTO-7, FC, RW, WORM,Zaruka: 3+4hod+bezplatný servis"/>
    <n v="4537.3900000000003"/>
    <n v="1"/>
    <n v="4537.3900000000003"/>
    <n v="17.549999999999997"/>
    <n v="275.8"/>
    <n v="11191.057499999999"/>
  </r>
  <r>
    <n v="711"/>
    <s v="Rámcová dohoda"/>
    <n v="4431412"/>
    <s v="https://crz.gov.sk/4431412"/>
    <s v="https://www.crz.gov.sk/data/att/4431415_dokument1.pdf, https://www.crz.gov.sk/data/att/4431416_dokument1.pdf"/>
    <x v="5"/>
    <s v="Čistiaca páska pre zálohovacie zariadenie,Typ: HPE Ultrium Universal Cleaning Cartridge"/>
    <n v="115.854"/>
    <n v="2"/>
    <n v="231.708"/>
    <n v="17.549999999999997"/>
    <n v="275.8"/>
    <n v="11191.057499999999"/>
  </r>
  <r>
    <n v="712"/>
    <s v="Rámcová dohoda"/>
    <n v="4431412"/>
    <s v="https://crz.gov.sk/4431412"/>
    <s v="https://www.crz.gov.sk/data/att/4431415_dokument1.pdf, https://www.crz.gov.sk/data/att/4431416_dokument1.pdf"/>
    <x v="47"/>
    <s v="Typ: CISCO ASA 5525-X with FirePOWER services,Porty: 8x GE,VPN: 750 IPSec,VLAN: 200,Podpora: 3DES/AES 300Mbps, URL filter, IKE 1+2, SHA-2, IPv6+filter, IPv4 NAT, NAT64, OSPFv2+v3, SNMPv2+v3, NTP, RADIUS, LDAP, QoS, ochrana proti DoS, inšpekcia protokolov, ochrana proti IP spoofingu, PIM-SM, IGMP, IEEE 802.1q, monitoring,Zaruka: 3+NBD+servis 8x5"/>
    <n v="20430"/>
    <n v="4"/>
    <n v="81720"/>
    <n v="17598.830000000002"/>
    <n v="60471.06"/>
    <n v="139860.215"/>
  </r>
  <r>
    <n v="713"/>
    <s v="Rámcová dohoda"/>
    <n v="4431412"/>
    <s v="https://crz.gov.sk/4431412"/>
    <s v="https://www.crz.gov.sk/data/att/4431415_dokument1.pdf, https://www.crz.gov.sk/data/att/4431416_dokument1.pdf"/>
    <x v="18"/>
    <s v="Typ: HPE OfficeConnect 1950 24G 2SFP+ 2xGT Switch,Porty/rychl.: 24x1Gbps+2xSFP 1/10Gbps,Uroven: neuvedené,Vyhot.: 1U,VLAN: bez,manažovaný,Zaruka: 3 na mieste"/>
    <n v="945.23"/>
    <n v="12"/>
    <n v="11342.76"/>
    <n v="1759.125"/>
    <n v="3923.7249999999999"/>
    <n v="12062.504999999999"/>
  </r>
  <r>
    <n v="714"/>
    <s v="Rámcová dohoda"/>
    <n v="4431412"/>
    <s v="https://crz.gov.sk/4431412"/>
    <s v="https://www.crz.gov.sk/data/att/4431415_dokument1.pdf, https://www.crz.gov.sk/data/att/4431416_dokument1.pdf"/>
    <x v="18"/>
    <s v="Typ: HPE OfficeConnect 1950 12XGT 4SFP+ Switch,Porty/rychl.: 12x1Gbps+4xSFP 1/10Gbps,Uroven: neuvedené,Vyhot.: 1U,VLAN: bez,manažovaný,Zaruka: 3 na mieste"/>
    <n v="2690"/>
    <n v="4"/>
    <n v="10760"/>
    <n v="1759.125"/>
    <n v="3923.7249999999999"/>
    <n v="12062.504999999999"/>
  </r>
  <r>
    <n v="715"/>
    <s v="Rámcová dohoda"/>
    <n v="4431412"/>
    <s v="https://crz.gov.sk/4431412"/>
    <s v="https://www.crz.gov.sk/data/att/4431415_dokument1.pdf, https://www.crz.gov.sk/data/att/4431416_dokument1.pdf"/>
    <x v="48"/>
    <s v="Typ: HPE SN3000B16Gb Active Fibre Channel switch,Porty/rychl.: 12x16Gbps FC,Uroven: neuvedené,Vyhot.: 1U,VLAN: bez,manažovaný,Zaruka: 3+4hod+24/7"/>
    <n v="13200"/>
    <n v="2"/>
    <n v="26400"/>
    <n v="12800"/>
    <n v="18793.535"/>
    <n v="26260.85"/>
  </r>
  <r>
    <n v="716"/>
    <s v="Rámcová dohoda"/>
    <n v="4431412"/>
    <s v="https://crz.gov.sk/4431412"/>
    <s v="https://www.crz.gov.sk/data/att/4431415_dokument1.pdf, https://www.crz.gov.sk/data/att/4431416_dokument1.pdf"/>
    <x v="19"/>
    <s v="Typ: HPE Aruba IAP-305,Porty:1xGbit LAN,VPN: nie,VLAN: áno,PocetSSID: 16,Normy: IEEE 802.3af, at, Q, a/b/g/n/a/c,MIMO: 3x3:3,Pasma: 2.4+5GHz,Roaming: áno,Podpora: mapovanie SSID do VLAN,Zaruka: 3+4hod+24/7"/>
    <n v="567"/>
    <n v="70"/>
    <n v="39690"/>
    <n v="88.21"/>
    <n v="134.57"/>
    <n v="252.7"/>
  </r>
  <r>
    <n v="717"/>
    <s v="Rámcová dohoda"/>
    <n v="4431412"/>
    <s v="https://crz.gov.sk/4431412"/>
    <s v="https://www.crz.gov.sk/data/att/4431415_dokument1.pdf, https://www.crz.gov.sk/data/att/4431416_dokument1.pdf"/>
    <x v="7"/>
    <s v="Typ: BENQ DLP Projector MH733,Technol.: 3LCD,Svetlost: 4000lm,Zdroj svetla: žiarovka s neuvedenou dobou životnosti,Rozlisenie: 1920x1080,Kontrast: 16000:1,Rozhrania: RS-232, USB, HDMI, VGA,Zaruka: 3"/>
    <n v="790"/>
    <n v="28"/>
    <n v="22120"/>
    <n v="709.95"/>
    <n v="1000"/>
    <n v="5171.4583333333339"/>
  </r>
  <r>
    <n v="718"/>
    <s v="Rámcová dohoda"/>
    <n v="4431412"/>
    <s v="https://crz.gov.sk/4431412"/>
    <s v="https://www.crz.gov.sk/data/att/4431415_dokument1.pdf, https://www.crz.gov.sk/data/att/4431416_dokument1.pdf"/>
    <x v="49"/>
    <s v="Typ: Samsung UE50NU7442,Rozlisenie: UHD,Frekv: neuvedené,Velkost: 50&quot;,Kontrast: neuvedené,Normy:  DVB-T2 / S2 / C, H.265/HEVC,Rozhrania: WIFI, USB, HDMI, LAN,matný,Zaruka: neuvedené"/>
    <n v="472.8"/>
    <n v="10"/>
    <n v="4728"/>
    <n v="559.6"/>
    <n v="646.4"/>
    <n v="733.2"/>
  </r>
  <r>
    <n v="719"/>
    <s v="Rámcová dohoda"/>
    <n v="4431412"/>
    <s v="https://crz.gov.sk/4431412"/>
    <s v="https://www.crz.gov.sk/data/att/4431415_dokument1.pdf, https://www.crz.gov.sk/data/att/4431416_dokument1.pdf"/>
    <x v="49"/>
    <s v="Typ: Samsung DB49J LED,Rozlisenie: FHD,Frekv: 60Hz,Velkost: 49&quot;,Kontrast: 3000:1,Normy:  -,Rozhrania: WIFI, USB, 3xHDMI, LAN, HDMI, DVI, RS232,matný,Zaruka: neuvedené"/>
    <n v="820"/>
    <n v="32"/>
    <n v="26240"/>
    <n v="559.6"/>
    <n v="646.4"/>
    <n v="733.2"/>
  </r>
  <r>
    <n v="720"/>
    <s v="Rámcová dohoda"/>
    <n v="4431412"/>
    <s v="https://crz.gov.sk/4431412"/>
    <s v="https://www.crz.gov.sk/data/att/4431415_dokument1.pdf, https://www.crz.gov.sk/data/att/4431416_dokument1.pdf"/>
    <x v="50"/>
    <s v="Typ: Samsung Smart Signage QB75H-TR Monitor,Rozlisenie: UHD,Frekv.: neuvedená,Veľkosť: 75&quot;,Kontrast: neuvedené,Rozhrania: USB, LAN, RS232, WIFI,Zaruka: 3"/>
    <n v="2800"/>
    <n v="30"/>
    <n v="84000"/>
    <n v="2700"/>
    <n v="2700"/>
    <n v="2750"/>
  </r>
  <r>
    <n v="721"/>
    <s v="Rámcová dohoda"/>
    <n v="4431412"/>
    <s v="https://crz.gov.sk/4431412"/>
    <s v="https://www.crz.gov.sk/data/att/4431415_dokument1.pdf, https://www.crz.gov.sk/data/att/4431416_dokument1.pdf"/>
    <x v="51"/>
    <s v="Typ: Apple iPhone XS 64GB Space Grey,Proc.: 64-bit,RAM: neuvedené,Ulozisko: 64GB,Disp.: 2436x1125,Fotoaparat: 2x12MPx,OS: iOS,Zaruka: 1"/>
    <n v="935"/>
    <n v="5"/>
    <n v="4675"/>
    <n v="506.75"/>
    <n v="654.5"/>
    <n v="796.25"/>
  </r>
  <r>
    <n v="722"/>
    <s v="Rámcová dohoda"/>
    <n v="4431412"/>
    <s v="https://crz.gov.sk/4431412"/>
    <s v="https://www.crz.gov.sk/data/att/4431415_dokument1.pdf, https://www.crz.gov.sk/data/att/4431416_dokument1.pdf"/>
    <x v="51"/>
    <s v="Typ: Apple iPhone 8 64GB Silver,Proc.: 64-bit,RAM: neuvedené,Ulozisko: 64GB,Disp.: neuvedené,Fotoaparat: 2x12MPx,OS: iOS,Zaruka: 1"/>
    <n v="559"/>
    <n v="10"/>
    <n v="5590"/>
    <n v="506.75"/>
    <n v="654.5"/>
    <n v="796.25"/>
  </r>
  <r>
    <n v="723"/>
    <s v="Rámcová dohoda"/>
    <n v="4431412"/>
    <s v="https://crz.gov.sk/4431412"/>
    <s v="https://www.crz.gov.sk/data/att/4431415_dokument1.pdf, https://www.crz.gov.sk/data/att/4431416_dokument1.pdf"/>
    <x v="51"/>
    <s v="Typ: Evolveo StrongPhone G6,Proc.: 4-jadro 1.5GHz,RAM: 2GB,Ulozisko: 16GB+karta,Disp.: 1440x720,Fotoaparat: 13MPx,OS: Android,Zaruka: neuvedené"/>
    <n v="350"/>
    <n v="172.4"/>
    <n v="60340"/>
    <n v="506.75"/>
    <n v="654.5"/>
    <n v="796.25"/>
  </r>
  <r>
    <n v="724"/>
    <s v="Rámcová dohoda"/>
    <n v="4431412"/>
    <s v="https://crz.gov.sk/4431412"/>
    <s v="https://www.crz.gov.sk/data/att/4431415_dokument1.pdf, https://www.crz.gov.sk/data/att/4431416_dokument1.pdf"/>
    <x v="52"/>
    <s v="Typ: HSM Shredstar x13,Media: papier, kreditné karty, zákaznícke, karty, CD nosiče,StupenUtaj: 3,Rychl.: 13 listov/cyklus,Vykon: 300W,KapZas.: 23 litrov,Zaruka: neuvedené"/>
    <n v="188"/>
    <n v="50"/>
    <n v="9400"/>
    <n v="92"/>
    <n v="124"/>
    <n v="156"/>
  </r>
  <r>
    <n v="725"/>
    <s v="Rámcová dohoda"/>
    <n v="4431412"/>
    <s v="https://crz.gov.sk/4431412"/>
    <s v="https://www.crz.gov.sk/data/att/4431415_dokument1.pdf, https://www.crz.gov.sk/data/att/4431416_dokument1.pdf"/>
    <x v="52"/>
    <s v="Typ: HSM Shredstar s10,Media: papier, kreditné karty, zákaznícke, karty, CD nosiče,StupenUtaj: 2,Rychl.: 10 listov/cyklus,Vykon: 125W,KapZas.: 18 litrov,Zaruka: 2"/>
    <n v="60"/>
    <n v="20"/>
    <n v="1200"/>
    <n v="92"/>
    <n v="124"/>
    <n v="156"/>
  </r>
  <r>
    <n v="726"/>
    <s v="Rámcová dohoda - Dodávka výpočtovej techniky"/>
    <n v="4274843"/>
    <s v="https://crz.gov.sk/4274843"/>
    <s v="https://www.crz.gov.sk/data/att/4274857_dokument1.pdf"/>
    <x v="8"/>
    <s v="Typ: Lenovo System X3250 M6,Proc: CPU Intel Xeon E-2134, 4-core,8-thread 3.5GHz,RAM: 32GB,Disk: HDD 4x 2TB,Radic: RAID0/1/5/10/JBOD,Ethernet: 2x 1Gbps,GPU: Zdiel.,Vyhotovenie: 1U,OS nezávislý systém manažment,Zaruka: 3+4hod+24/7"/>
    <n v="5181"/>
    <n v="6"/>
    <n v="31086"/>
    <n v="7209.15"/>
    <n v="15534.78"/>
    <n v="29950.799999999999"/>
  </r>
  <r>
    <n v="727"/>
    <s v="Rámcová dohoda - Dodávka výpočtovej techniky"/>
    <n v="4274843"/>
    <s v="https://crz.gov.sk/4274843"/>
    <s v="https://www.crz.gov.sk/data/att/4274857_dokument1.pdf"/>
    <x v="8"/>
    <s v="Typ: Lenovo ThinkSystem SR570,Proc: 2x CPU Intel Xeon Gold 5118 12C, 12-core,24-thread 2.3GHz,RAM: 64GB,Disk: SSD 2x 240GB hotswap,Radic: RAID0/1/10,Ethernet: 2x 10Gbps+2x 1 Gbps,GPU: Zdiel.,Vyhotovenie: 1U,OS nezávislý systém manažment,Zaruka: 3+4hod+24/7"/>
    <n v="11869"/>
    <n v="22"/>
    <n v="261118"/>
    <n v="7209.15"/>
    <n v="15534.78"/>
    <n v="29950.799999999999"/>
  </r>
  <r>
    <n v="728"/>
    <s v="Rámcová dohoda - Dodávka výpočtovej techniky"/>
    <n v="4274843"/>
    <s v="https://crz.gov.sk/4274843"/>
    <s v="https://www.crz.gov.sk/data/att/4274857_dokument1.pdf"/>
    <x v="8"/>
    <s v="Typ: Lenovo ThinkSystem SR590,Proc: 2x CPU Intel Xeon Gold 5118 12C, 12-core,24-thread 2.3GHz,RAM: 64GB,Disk: SSD 2x 240GB hotswap+6x HDD 600GB 10000RPM hotswap,Radic: RAID0/1/5,Ethernet: 4x 10Gbps,GPU: Zdiel.,Vyhotovenie: 2U,OS nezávislý systém manažment,Zaruka: 3+4hod+24/7"/>
    <n v="15450"/>
    <n v="5"/>
    <n v="77250"/>
    <n v="7209.15"/>
    <n v="15534.78"/>
    <n v="29950.799999999999"/>
  </r>
  <r>
    <n v="729"/>
    <s v="Rámcová dohoda - Dodávka výpočtovej techniky"/>
    <n v="4274843"/>
    <s v="https://crz.gov.sk/4274843"/>
    <s v="https://www.crz.gov.sk/data/att/4274857_dokument1.pdf"/>
    <x v="8"/>
    <s v="Typ: Lenovo ThinkSystem SR590,Proc: 2x CPU Intel Xeon Gold 6132 14C, 14-core,28-thread 2.6GHz,RAM: 64GB,Disk: SSD 2x 240GB hotswap+4x HDD 600GB 10000RPM hotswap,Radic: RAID0/1/5/10,Ethernet: 4x 10Gbps + 2x10Gbps SFP plus+2x16Gbps SAN fibrechannel,GPU: Zdiel.,Vyhotovenie: 2U,OS nezávislý systém manažment,Zaruka: 3+4hod+24/7"/>
    <n v="22392.3"/>
    <n v="2"/>
    <n v="44784.6"/>
    <n v="7209.15"/>
    <n v="15534.78"/>
    <n v="29950.799999999999"/>
  </r>
  <r>
    <n v="730"/>
    <s v="Rámcová dohoda - Dodávka výpočtovej techniky"/>
    <n v="4274843"/>
    <s v="https://crz.gov.sk/4274843"/>
    <s v="https://www.crz.gov.sk/data/att/4274857_dokument1.pdf"/>
    <x v="8"/>
    <s v="Typ: Lenovo ThinkSystem SR590,Proc: 2x CPU Intel Xeon Gold 6132 14C, 14-core,28-thread 2.6GHz,RAM: 256GB,Disk: SSD 2x 240GB hotswap,Radic: RAID0/1/5/10,Ethernet: 4x 10Gbps + 2x10Gbps SFP plus+2x16Gbps SAN fibrechannel,GPU: Zdiel.,Vyhotovenie: 2U,OS nezávislý systém manažment,Zaruka: 3+4hod+24/7"/>
    <n v="25406.25"/>
    <n v="10"/>
    <n v="254062.5"/>
    <n v="7209.15"/>
    <n v="15534.78"/>
    <n v="29950.799999999999"/>
  </r>
  <r>
    <n v="731"/>
    <s v="Rámcová dohoda - Dodávka výpočtovej techniky"/>
    <n v="4274843"/>
    <s v="https://crz.gov.sk/4274843"/>
    <s v="https://www.crz.gov.sk/data/att/4274857_dokument1.pdf"/>
    <x v="8"/>
    <s v="Typ: HPE ProliantDL360,Proc: 2x CPU Intel Xeon Silver 4110, 8-core,16-thread 2.1GHz,RAM: 32GB,Disk: SSD 2x 240GB+4x 2TB HDD7200,Radic: RAID0/1/5/6,Ethernet: 8x 1Gbps,GPU: Zdiel.,Vyhotovenie: 2U,OS nezávislý systém manažment,DVD-ROM,Zaruka: 3+4hod+24/7"/>
    <n v="12142"/>
    <n v="20"/>
    <n v="242840"/>
    <n v="7209.15"/>
    <n v="15534.78"/>
    <n v="29950.799999999999"/>
  </r>
  <r>
    <n v="732"/>
    <s v="Rámcová dohoda - Dodávka výpočtovej techniky"/>
    <n v="4274843"/>
    <s v="https://crz.gov.sk/4274843"/>
    <s v="https://www.crz.gov.sk/data/att/4274857_dokument1.pdf"/>
    <x v="8"/>
    <s v="Typ: Dell PowerEdge T440,Proc: CPU Intel Xeon Gold 5122, 4-core,8-thread 3.6GHz,RAM: 8GB,Disk: 2x 1TB HDD7200,Radic: RAID0/1/10,Ethernet: 2x 1Gbps,GPU: Zdiel.,Vyhotovenie: tower,OS nezávislý systém manažment,Zaruka: 3+4hod+24/7"/>
    <n v="7551.7"/>
    <n v="1"/>
    <n v="7551.7"/>
    <n v="7209.15"/>
    <n v="15534.78"/>
    <n v="29950.799999999999"/>
  </r>
  <r>
    <n v="733"/>
    <s v="Rámcová dohoda - Dodávka výpočtovej techniky"/>
    <n v="4274843"/>
    <s v="https://crz.gov.sk/4274843"/>
    <s v="https://www.crz.gov.sk/data/att/4274857_dokument1.pdf"/>
    <x v="8"/>
    <s v="Typ: Dell PowerEdge R740,Proc: 2x CPU Intel Xeon Silver 4216, 16-core,32-thread 2.1GHz,RAM: 192GB,Disk: SSD 2x240GB hotswap+4x 600GB HDD10000 hotswap,Radic: RAID0/1/5/10,Ethernet: 4x 10Gbps+2x 10Gbps Sfp plus+2x16Gbps SAN fibrechannel,GPU: Zdiel.,Vyhotovenie: 2U,OS nezávislý systém manažment,Zaruka: 3+4hod+24/7"/>
    <n v="21956"/>
    <n v="1"/>
    <n v="21956"/>
    <n v="7209.15"/>
    <n v="15534.78"/>
    <n v="29950.799999999999"/>
  </r>
  <r>
    <n v="734"/>
    <s v="Rámcová dohoda - Dodávka výpočtovej techniky"/>
    <n v="4274843"/>
    <s v="https://crz.gov.sk/4274843"/>
    <s v="https://www.crz.gov.sk/data/att/4274857_dokument1.pdf"/>
    <x v="8"/>
    <s v="Typ: Dell PowerEdge R740,Proc: 2x CPU Intel Xeon Silver 4216, 16-core,32-thread 2.1GHz,RAM: 192GB,Disk: SSD 2x240GB hotswap,Radic: RAID0/1/10,Ethernet: 4x 10Gbps+2x 10Gbps Sfp plus+2x16Gbps SAN fibrechannel,GPU: Zdiel.,Vyhotovenie: 2U,OS nezávislý systém manažment,Zaruka: 3+4hod+24/7"/>
    <n v="22480"/>
    <n v="1"/>
    <n v="22480"/>
    <n v="7209.15"/>
    <n v="15534.78"/>
    <n v="29950.799999999999"/>
  </r>
  <r>
    <n v="735"/>
    <s v="Rámcová dohoda - Dodávka výpočtovej techniky"/>
    <n v="4274843"/>
    <s v="https://crz.gov.sk/4274843"/>
    <s v="https://www.crz.gov.sk/data/att/4274857_dokument1.pdf"/>
    <x v="48"/>
    <s v="Typ: IBM System Networking 2498-X24,Porty/rychl.: 24x16Gbps FC akt. 12,Uroven: neuvedené,Vyhot.: 1U,VLAN: neuvedené,manažovaný,Zaruka: 3+4hod+24/7"/>
    <n v="18200"/>
    <n v="8"/>
    <n v="145600"/>
    <n v="12800"/>
    <n v="18793.535"/>
    <n v="26260.85"/>
  </r>
  <r>
    <n v="736"/>
    <s v="Rámcová dohoda - Dodávka výpočtovej techniky"/>
    <n v="4274843"/>
    <s v="https://crz.gov.sk/4274843"/>
    <s v="https://www.crz.gov.sk/data/att/4274857_dokument1.pdf"/>
    <x v="48"/>
    <s v="Typ: IBM Storage Networking 8960-F24,Porty/rychl.: 24x16Gbps FC akt. 8,Uroven: neuvedené,Vyhot.: 1U,VLAN: neuvedené,manažovaný,Zaruka: 3+4hod+24/7"/>
    <n v="11600"/>
    <n v="2"/>
    <n v="23200"/>
    <n v="12800"/>
    <n v="18793.535"/>
    <n v="26260.85"/>
  </r>
  <r>
    <n v="737"/>
    <s v="Rámcová dohoda - Dodávka výpočtovej techniky"/>
    <n v="4274843"/>
    <s v="https://crz.gov.sk/4274843"/>
    <s v="https://www.crz.gov.sk/data/att/4274857_dokument1.pdf"/>
    <x v="9"/>
    <s v="Typ: Dell EMC Unity 300,Technol.:SAS/FC,Radic: 2xRAID,Cache: 48GB RAM+400GB SSD,Disky: 6x 198GB SSD SFF+16x 1.2TB HDD10000 SAS+25x 200GB FLASH drive,Porty: 4x 8Gbps FC SW+2x12Gbps SASé,Vyhotovenie: 2U,vzdialený prístup,Zaruka: 5+4hod+24/7"/>
    <n v="52617"/>
    <n v="2"/>
    <n v="105234"/>
    <n v="2032"/>
    <n v="19360"/>
    <n v="87628.37"/>
  </r>
  <r>
    <n v="738"/>
    <s v="Rámcová dohoda - Dodávka výpočtovej techniky"/>
    <n v="4274843"/>
    <s v="https://crz.gov.sk/4274843"/>
    <s v="https://www.crz.gov.sk/data/att/4274857_dokument1.pdf"/>
    <x v="5"/>
    <s v="Rozšír. Jednotka k disk. poľu,Typ: Dell EMC Unity 300 25x2.5 Drive DAE FLD RCK,Kompat_pole: Dell EMC Unity 300,Pozicie: 25xSFF,Vyhotovenie: 2U,Zaruka: 5+4hod+24/7"/>
    <n v="5990"/>
    <n v="8"/>
    <n v="47920"/>
    <n v="17.549999999999997"/>
    <n v="275.8"/>
    <n v="11191.057499999999"/>
  </r>
  <r>
    <n v="739"/>
    <s v="Rámcová dohoda - Dodávka výpočtovej techniky"/>
    <n v="4274843"/>
    <s v="https://crz.gov.sk/4274843"/>
    <s v="https://www.crz.gov.sk/data/att/4274857_dokument1.pdf"/>
    <x v="5"/>
    <s v="Rozšír. Jednotka k disk. poľu,Typ: Dell EMC Unity 300 15x3.5 Drive DAE FLD RCK,Kompat_pole: Dell EMC Unity 300,Pozicie: 15xLFF,Vyhotovenie: 3U,Zaruka: 5+4hod+24/7"/>
    <n v="11600"/>
    <n v="2"/>
    <n v="23200"/>
    <n v="17.549999999999997"/>
    <n v="275.8"/>
    <n v="11191.057499999999"/>
  </r>
  <r>
    <n v="740"/>
    <s v="Rámcová dohoda - Dodávka výpočtovej techniky"/>
    <n v="4274843"/>
    <s v="https://crz.gov.sk/4274843"/>
    <s v="https://www.crz.gov.sk/data/att/4274857_dokument1.pdf"/>
    <x v="9"/>
    <s v="Typ: IBM Storwize V7000 SFF 2076-624,Technol.:SAS/FC,Radic: 2xRAID,Cache: 64GB RAM,Disky: 24x 900GB HDD10000 SAS,Porty: 6x1Gbps iSCSI+8x16Gbps FC SW + 4x12 Gbps SAS,Vyhotovenie: 2U,vzdialený prístup,Zaruka: 5+4hod+24/7"/>
    <n v="143000"/>
    <n v="4"/>
    <n v="572000"/>
    <n v="2032"/>
    <n v="19360"/>
    <n v="87628.37"/>
  </r>
  <r>
    <n v="741"/>
    <s v="Rámcová dohoda - Dodávka výpočtovej techniky"/>
    <n v="4274843"/>
    <s v="https://crz.gov.sk/4274843"/>
    <s v="https://www.crz.gov.sk/data/att/4274857_dokument1.pdf"/>
    <x v="5"/>
    <s v="Rozšír. Jednotka k disk. poľu,Typ: IBM Storwize V7000 SFF,Kompat_pole: IBM Storwize V7000 SFF,Pozicie: 24xSFF,Vyhotovenie: 2U,Zaruka: 5+4hod+24/7"/>
    <n v="33400"/>
    <n v="4"/>
    <n v="133600"/>
    <n v="17.549999999999997"/>
    <n v="275.8"/>
    <n v="11191.057499999999"/>
  </r>
  <r>
    <n v="742"/>
    <s v="Rámcová dohoda - Dodávka výpočtovej techniky"/>
    <n v="4274843"/>
    <s v="https://crz.gov.sk/4274843"/>
    <s v="https://www.crz.gov.sk/data/att/4274857_dokument1.pdf"/>
    <x v="5"/>
    <s v="Rozšír. Jednotka k disk. poľu,Typ: IBM Storwize V7000 LFF,Kompat_pole: IBM Storwize V7000 SFF,Pozicie: 12xLFF,Vyhotovenie: 2U,Zaruka: 5+4hod+24/7"/>
    <n v="27800"/>
    <n v="4"/>
    <n v="111200"/>
    <n v="17.549999999999997"/>
    <n v="275.8"/>
    <n v="11191.057499999999"/>
  </r>
  <r>
    <n v="743"/>
    <s v="Rámcová dohoda - Dodávka výpočtovej techniky"/>
    <n v="4274843"/>
    <s v="https://crz.gov.sk/4274843"/>
    <s v="https://www.crz.gov.sk/data/att/4274857_dokument1.pdf"/>
    <x v="44"/>
    <s v="Typ: IBM TS4300 Tape Library,Technol.: pásková knižnica,Vyhotovenie: 3U,Medium: 32x páska LTO,Pocet_mech.: 3,Pocet_kap_media: bez,Komp_rozhrania: FC,Zaruka: 3+4hod+24/7"/>
    <n v="21275.86"/>
    <n v="1"/>
    <n v="21275.86"/>
    <n v="11441.9125"/>
    <n v="24241.455000000002"/>
    <n v="41877.177500000005"/>
  </r>
  <r>
    <n v="744"/>
    <s v="Rámcová dohoda - Dodávka výpočtovej techniky"/>
    <n v="4274843"/>
    <s v="https://crz.gov.sk/4274843"/>
    <s v="https://www.crz.gov.sk/data/att/4274857_dokument1.pdf"/>
    <x v="5"/>
    <s v="Rozšír. jednotka k zálohovacej jednotke,Typ: IBM TS4300 Tape Library,Kompat_jednotka:  IBM TS4300 Tape Library,Pozicie: 40xLTO,Vyhotovenie: 3U,Zaruka: 3+4hod+24/7"/>
    <n v="9964.23"/>
    <n v="1"/>
    <n v="9964.23"/>
    <n v="17.549999999999997"/>
    <n v="275.8"/>
    <n v="11191.057499999999"/>
  </r>
  <r>
    <n v="745"/>
    <s v="Rámcová dohoda - Dodávka výpočtovej techniky"/>
    <n v="4274843"/>
    <s v="https://crz.gov.sk/4274843"/>
    <s v="https://www.crz.gov.sk/data/att/4274857_dokument1.pdf"/>
    <x v="10"/>
    <s v="Typ: Lenovo NetBAY S2,Vyska: 42U stojaci, Zaruka: 3+4hod+24/7"/>
    <n v="1500"/>
    <n v="2"/>
    <n v="3000"/>
    <n v="98.7"/>
    <n v="172.56"/>
    <n v="2312.5"/>
  </r>
  <r>
    <n v="746"/>
    <s v="Rámcová dohoda - Dodávka výpočtovej techniky"/>
    <n v="4274843"/>
    <s v="https://crz.gov.sk/4274843"/>
    <s v="https://www.crz.gov.sk/data/att/4274857_dokument1.pdf"/>
    <x v="0"/>
    <s v="Typ: HP EliteDesk 800 G5 DM,Proc: 6-jadro passmark 9722,RAM: 8GB,Disk: HDD SATA 500GB,VGA: zdiel,OS: Win10Pro,klávesnica,myš,Zaruka: 3+NBD+8/5"/>
    <n v="765"/>
    <n v="362"/>
    <n v="276930"/>
    <n v="680"/>
    <n v="991"/>
    <n v="1485.8333333333335"/>
  </r>
  <r>
    <n v="747"/>
    <s v="Rámcová dohoda - Dodávka výpočtovej techniky"/>
    <n v="4274843"/>
    <s v="https://crz.gov.sk/4274843"/>
    <s v="https://www.crz.gov.sk/data/att/4274857_dokument1.pdf"/>
    <x v="0"/>
    <s v="Typ: HP EliteDesk 800 G5 SFF,Proc: 6-jadro passmark 9722,RAM: 8GB,Disk: HDD SATA 500GB,VGA: zdiel,OS: Win10Pro,klávesnica,myš,Zaruka: 3+NBD+8/5"/>
    <n v="785"/>
    <n v="64"/>
    <n v="50240"/>
    <n v="680"/>
    <n v="991"/>
    <n v="1485.8333333333335"/>
  </r>
  <r>
    <n v="748"/>
    <s v="Rámcová dohoda - Dodávka výpočtovej techniky"/>
    <n v="4274843"/>
    <s v="https://crz.gov.sk/4274843"/>
    <s v="https://www.crz.gov.sk/data/att/4274857_dokument1.pdf"/>
    <x v="0"/>
    <s v="Typ: HP EliteDesk 800 G5 AiO,Proc: 6-jadro passmark 9722,RAM: 8GB,Disk: HDD SATA 1TB,VGA: zdiel,OS: Win10Pro,klávesnica,myš,Monitor: FHD 23.8&quot; WLED dotyk+nastavenie,DVD,Zaruka: 3+NBD+8/5"/>
    <n v="1148"/>
    <n v="10"/>
    <n v="11480"/>
    <n v="680"/>
    <n v="991"/>
    <n v="1485.8333333333335"/>
  </r>
  <r>
    <n v="749"/>
    <s v="Rámcová dohoda - Dodávka výpočtovej techniky"/>
    <n v="4274843"/>
    <s v="https://crz.gov.sk/4274843"/>
    <s v="https://www.crz.gov.sk/data/att/4274857_dokument1.pdf"/>
    <x v="0"/>
    <s v="Typ: HP EliteDesk 800 G5 AiO,Proc: 4-jadro passmark 6136,RAM: 8GB,Disk: HDD SATA 1TB,VGA: zdiel,OS: Win10Pro,klávesnica,myš,Monitor: FHD 23.8&quot; WLED dotyk+nastavenie,DVD,Zaruka: 3+NBD+8/5"/>
    <n v="970.6"/>
    <n v="10"/>
    <n v="9706"/>
    <n v="680"/>
    <n v="991"/>
    <n v="1485.8333333333335"/>
  </r>
  <r>
    <n v="750"/>
    <s v="Rámcová dohoda - Dodávka výpočtovej techniky"/>
    <n v="4274843"/>
    <s v="https://crz.gov.sk/4274843"/>
    <s v="https://www.crz.gov.sk/data/att/4274857_dokument1.pdf"/>
    <x v="0"/>
    <s v="Typ: HP Z4 G4,Proc: 4-jadro passmark 8489,RAM: 16GB,Disk: SSD NVMe 256GB+HDD SATA 1TB,VGA: nezdiel. Nvidia Quadro P4000 8GB passmark 11426,OS: Win10Pro,klávesnica,myš,DVD,Zaruka: 3+NBD+8/5"/>
    <n v="2806.6"/>
    <n v="13"/>
    <n v="36485.799999999996"/>
    <n v="680"/>
    <n v="991"/>
    <n v="1485.8333333333335"/>
  </r>
  <r>
    <n v="751"/>
    <s v="Rámcová dohoda - Dodávka výpočtovej techniky"/>
    <n v="4274843"/>
    <s v="https://crz.gov.sk/4274843"/>
    <s v="https://www.crz.gov.sk/data/att/4274857_dokument1.pdf"/>
    <x v="0"/>
    <s v="Typ: Dell Precision T3430,Proc: 6-jadro passmark 13050,RAM: 16GB,Disk: SSD SATA 256GB,VGA: nezdiel. Nvidia Quadro P620 passmark 3639,OS: Win10Pro,klávesnica,myš,DVD,Zaruka: 3+NBD+8/5"/>
    <n v="930"/>
    <n v="13"/>
    <n v="12090"/>
    <n v="680"/>
    <n v="991"/>
    <n v="1485.8333333333335"/>
  </r>
  <r>
    <n v="752"/>
    <s v="Rámcová dohoda - Dodávka výpočtovej techniky"/>
    <n v="4274843"/>
    <s v="https://crz.gov.sk/4274843"/>
    <s v="https://www.crz.gov.sk/data/att/4274857_dokument1.pdf"/>
    <x v="1"/>
    <s v="Typ: HP EliteBook 830 G6,Proc.: 4-jadro passmark 6105,RAM: 8GB,Disk: SSD NVMe 256GB,VGA: zdiel.,Disp: FHD + dotyk,OS: Win10Pro, klávesnica SK,TPM,Zaruka: 3+NBD+8/5"/>
    <n v="1202.5999999999999"/>
    <n v="153"/>
    <n v="183997.8"/>
    <n v="783.15"/>
    <n v="1196.3"/>
    <n v="1455.5"/>
  </r>
  <r>
    <n v="753"/>
    <s v="Rámcová dohoda - Dodávka výpočtovej techniky"/>
    <n v="4274843"/>
    <s v="https://crz.gov.sk/4274843"/>
    <s v="https://www.crz.gov.sk/data/att/4274857_dokument1.pdf"/>
    <x v="1"/>
    <s v="Typ: HP EliteBook 850 G6,Proc.: 4-jadro passmark 6105,RAM: 8GB,Disk: SSD NVMe 256GB,VGA: zdiel.,Disp: FHD + dotyk,OS: Win10Pro, klávesnica SK,TPM,Zaruka: 3+NBD+8/5"/>
    <n v="1082.68"/>
    <n v="8"/>
    <n v="8661.44"/>
    <n v="783.15"/>
    <n v="1196.3"/>
    <n v="1455.5"/>
  </r>
  <r>
    <n v="754"/>
    <s v="Rámcová dohoda - Dodávka výpočtovej techniky"/>
    <n v="4274843"/>
    <s v="https://crz.gov.sk/4274843"/>
    <s v="https://www.crz.gov.sk/data/att/4274857_dokument1.pdf"/>
    <x v="1"/>
    <s v="Typ: HP ProBook 450 G6,Proc.: 4-jadro passmark 7954,RAM: 16GB,Disk: SSD NVMe 256GB + HDD SATA 1TB,VGA: nezdiel. Nvidia GeForce MX130 passmark 1899,Disp: FHD,OS: Win10Pro, klávesnica SK,TPM,Zaruka: 3+NBD+8/5"/>
    <n v="1126.6600000000001"/>
    <n v="8"/>
    <n v="9013.2800000000007"/>
    <n v="783.15"/>
    <n v="1196.3"/>
    <n v="1455.5"/>
  </r>
  <r>
    <n v="755"/>
    <s v="Rámcová dohoda - Dodávka výpočtovej techniky"/>
    <n v="4274843"/>
    <s v="https://crz.gov.sk/4274843"/>
    <s v="https://www.crz.gov.sk/data/att/4274857_dokument1.pdf"/>
    <x v="1"/>
    <s v="Typ: Apple MacBook Pro,Proc.: 6-jadro passmark 10328,RAM: 16GB,Disk: SSD NVMe 512GB,VGA: nezdiel. AMD Radeon Pro 560X 4GB GDDR5 passmark 3475,Disp: 2880x1801 retina,OS: MacOS+Win10Pro, klávesnica SK,TPM,Zaruka: 2+NBD+8/5"/>
    <n v="2350"/>
    <n v="2"/>
    <n v="4700"/>
    <n v="783.15"/>
    <n v="1196.3"/>
    <n v="1455.5"/>
  </r>
  <r>
    <n v="756"/>
    <s v="Rámcová dohoda - Dodávka výpočtovej techniky"/>
    <n v="4274843"/>
    <s v="https://crz.gov.sk/4274843"/>
    <s v="https://www.crz.gov.sk/data/att/4274857_dokument1.pdf"/>
    <x v="2"/>
    <s v="Typ: HP EliteDisplay E243m,Rozlisenie: 1920x1080,Frekv: 60 Hz,Velkost: 23.8&quot;,Kontrast: 1000:1,Vstupy: VGA, DP, HDMI,matný,Zaruka: 3+NBD+8/5"/>
    <n v="220"/>
    <n v="123"/>
    <n v="27060"/>
    <n v="141.67500000000001"/>
    <n v="194"/>
    <n v="266.75"/>
  </r>
  <r>
    <n v="757"/>
    <s v="Rámcová dohoda - Dodávka výpočtovej techniky"/>
    <n v="4274843"/>
    <s v="https://crz.gov.sk/4274843"/>
    <s v="https://www.crz.gov.sk/data/att/4274857_dokument1.pdf"/>
    <x v="2"/>
    <s v="Typ: HP Z32 4K UHD Display,Rozlisenie: 3840x2160,Frekv: 60 Hz,Velkost: 31.5&quot;,Kontrast: 1300:1,Vstupy: DP, MiniDP, HDMI2.0, USB-C,matný,Zaruka: 3+NBD+8/5"/>
    <n v="745"/>
    <n v="58"/>
    <n v="43210"/>
    <n v="141.67500000000001"/>
    <n v="194"/>
    <n v="266.75"/>
  </r>
  <r>
    <n v="758"/>
    <s v="Rámcová dohoda - Dodávka výpočtovej techniky"/>
    <n v="4274843"/>
    <s v="https://crz.gov.sk/4274843"/>
    <s v="https://www.crz.gov.sk/data/att/4274857_dokument1.pdf"/>
    <x v="2"/>
    <s v="Typ: Eizo FlexScan EV2456,Rozlisenie: 1920x1080,Frekv: 60 Hz,Velkost: 24&quot;,Kontrast: 1000:1,Vstupy: DVI, VGA, DP, HDMI, USB,matný,Zaruka: 5+NBD+8/5"/>
    <n v="390"/>
    <n v="100"/>
    <n v="39000"/>
    <n v="141.67500000000001"/>
    <n v="194"/>
    <n v="266.75"/>
  </r>
  <r>
    <n v="759"/>
    <s v="Rámcová dohoda - Dodávka výpočtovej techniky"/>
    <n v="4274843"/>
    <s v="https://crz.gov.sk/4274843"/>
    <s v="https://www.crz.gov.sk/data/att/4274857_dokument1.pdf"/>
    <x v="2"/>
    <s v="Typ: NEC LED EJ71M,Rozlisenie: 1280x1024,Frekv: 60 Hz,Velkost: 17&quot;,Kontrast: 1000:1,Vstupy: DVI, VGA,matný,Zaruka: 3+NBD+8/5"/>
    <n v="160"/>
    <n v="10"/>
    <n v="1600"/>
    <n v="141.67500000000001"/>
    <n v="194"/>
    <n v="266.75"/>
  </r>
  <r>
    <n v="760"/>
    <s v="Rámcová dohoda - Dodávka výpočtovej techniky"/>
    <n v="4274843"/>
    <s v="https://crz.gov.sk/4274843"/>
    <s v="https://www.crz.gov.sk/data/att/4274857_dokument1.pdf"/>
    <x v="2"/>
    <s v="Typ: Iiyama ProLite B2083HSD,Rozlisenie: 1600x900,Frekv: 60 Hz,Velkost: 20&quot;,Kontrast: 1000:1,Vstupy: DVI, VGA,matný,Zaruka: 3+NBD+8/5"/>
    <n v="115"/>
    <n v="40"/>
    <n v="4600"/>
    <n v="141.67500000000001"/>
    <n v="194"/>
    <n v="266.75"/>
  </r>
  <r>
    <n v="761"/>
    <s v="Rámcová dohoda - Dodávka výpočtovej techniky"/>
    <n v="4274843"/>
    <s v="https://crz.gov.sk/4274843"/>
    <s v="https://www.crz.gov.sk/data/att/4274857_dokument1.pdf"/>
    <x v="2"/>
    <s v="Typ: Dell Professional P2417H,Rozlisenie: 1920x1080,Frekv: 60 Hz,Velkost: 23.8&quot;,Kontrast: 1000:1,Vstupy: VGA, DP, HDMI, USB,matný,nastaviteľný,Zaruka: 3+NBD+8/5"/>
    <n v="136"/>
    <n v="26"/>
    <n v="3536"/>
    <n v="141.67500000000001"/>
    <n v="194"/>
    <n v="266.75"/>
  </r>
  <r>
    <n v="762"/>
    <s v="Rámcová dohoda - Dodávka výpočtovej techniky"/>
    <n v="4274843"/>
    <s v="https://crz.gov.sk/4274843"/>
    <s v="https://www.crz.gov.sk/data/att/4274857_dokument1.pdf"/>
    <x v="2"/>
    <s v="Typ: Eizo FlexScan S1934H-BK,Rozlisenie: 1280x1024,Frekv: 60 Hz,Velkost: 19&quot;,Kontrast: 1000:1,Vstupy: DVI, VGA, DP,matný,nastaviteľný,Zaruka: 5+NBD+8/5"/>
    <n v="275"/>
    <n v="18"/>
    <n v="4950"/>
    <n v="141.67500000000001"/>
    <n v="194"/>
    <n v="266.75"/>
  </r>
  <r>
    <n v="763"/>
    <s v="Rámcová dohoda - Dodávka výpočtovej techniky"/>
    <n v="4274843"/>
    <s v="https://crz.gov.sk/4274843"/>
    <s v="https://www.crz.gov.sk/data/att/4274857_dokument1.pdf"/>
    <x v="2"/>
    <s v="Typ: Iiyama XUB2790HS-B1,Rozlisenie: 1080x1920,Frekv: 60 Hz,Velkost: 27&quot;,Kontrast: 1000:1,Vstupy: DVI, HDMI, VGA,matný,Zaruka: 3+NBD+8/5"/>
    <n v="190"/>
    <n v="5"/>
    <n v="950"/>
    <n v="141.67500000000001"/>
    <n v="194"/>
    <n v="266.75"/>
  </r>
  <r>
    <n v="764"/>
    <s v="Rámcová dohoda - Dodávka výpočtovej techniky"/>
    <n v="4274843"/>
    <s v="https://crz.gov.sk/4274843"/>
    <s v="https://www.crz.gov.sk/data/att/4274857_dokument1.pdf"/>
    <x v="2"/>
    <s v="Typ: NEOVO SC-17AH,Rozlisenie: 1280x1024,Frekv: 60 Hz,Velkost: 17&quot;,Kontrast: 1000:1,Vstupy: VGA, S-VIDEO, HDMI, BNCout+BNCin,matný,Zaruka: 3+NBD+8/5"/>
    <n v="200"/>
    <n v="2"/>
    <n v="400"/>
    <n v="141.67500000000001"/>
    <n v="194"/>
    <n v="266.75"/>
  </r>
  <r>
    <n v="765"/>
    <s v="Rámcová dohoda - Dodávka výpočtovej techniky"/>
    <n v="4274843"/>
    <s v="https://crz.gov.sk/4274843"/>
    <s v="https://www.crz.gov.sk/data/att/4274857_dokument1.pdf"/>
    <x v="2"/>
    <s v="Typ: NEOVO SC-22AH,Rozlisenie: 1920x1080,Frekv: 60 Hz,Velkost: 22&quot;,Kontrast: 1000:1,Vstupy: VGA, S-VIDEO, HDMI, BNCout+BNCin,matný,Zaruka: 3+NBD+8/5"/>
    <n v="240"/>
    <n v="2"/>
    <n v="480"/>
    <n v="141.67500000000001"/>
    <n v="194"/>
    <n v="266.75"/>
  </r>
  <r>
    <n v="766"/>
    <s v="Rámcová dohoda - Dodávka výpočtovej techniky"/>
    <n v="4274843"/>
    <s v="https://crz.gov.sk/4274843"/>
    <s v="https://www.crz.gov.sk/data/att/4274857_dokument1.pdf"/>
    <x v="7"/>
    <s v="Typ: BENQ MH733,Technol.: DLP,Svetlost: 4000lm,Zdroj svetla: žiarovka 4000h,Rozlisenie: FHD,Kontrast: 16000:1,Rozhrania: USB, HDMI, LAN, Jack,Zaruka: 3+NBD+8/5"/>
    <n v="725"/>
    <n v="6"/>
    <n v="4350"/>
    <n v="709.95"/>
    <n v="1000"/>
    <n v="5171.4583333333339"/>
  </r>
  <r>
    <n v="767"/>
    <s v="Rámcová dohoda - Dodávka výpočtovej techniky"/>
    <n v="4274843"/>
    <s v="https://crz.gov.sk/4274843"/>
    <s v="https://www.crz.gov.sk/data/att/4274857_dokument1.pdf"/>
    <x v="3"/>
    <s v="Typ: HP LaserJet Pro M501dn,Technologia: laser,Farba: nie,Formaty: A4,Rozhrania: USB, ethernet,RAM: 256MB, Pam. Karta: neuvedené,Zasobnik: 650,Rozlisenie: 600dpi,Duplex: áno,Zaruka: 2+NBD+8/5"/>
    <n v="375"/>
    <n v="75"/>
    <n v="28125"/>
    <n v="229.78"/>
    <n v="424.2"/>
    <n v="1030.3"/>
  </r>
  <r>
    <n v="768"/>
    <s v="Rámcová dohoda - Dodávka výpočtovej techniky"/>
    <n v="4274843"/>
    <s v="https://crz.gov.sk/4274843"/>
    <s v="https://www.crz.gov.sk/data/att/4274857_dokument1.pdf"/>
    <x v="3"/>
    <s v="Typ: Lexmark CS421dn,Technologia: laser,Farba: áno,Formaty: A4,Rozhrania: USB, ethernet,RAM: 512MB, Pam. Karta: neuvedené,Zasobnik: 250,Rozlisenie: 1200dpi,Duplex: áno,Zaruka: 3+NBD+8/5"/>
    <n v="314"/>
    <n v="9"/>
    <n v="2826"/>
    <n v="229.78"/>
    <n v="424.2"/>
    <n v="1030.3"/>
  </r>
  <r>
    <n v="769"/>
    <s v="Rámcová dohoda - Dodávka výpočtovej techniky"/>
    <n v="4274843"/>
    <s v="https://crz.gov.sk/4274843"/>
    <s v="https://www.crz.gov.sk/data/att/4274857_dokument1.pdf"/>
    <x v="3"/>
    <s v="Typ: HP Color LaserJet Ent M751dn,Technologia: laser,Farba: áno,Formaty: A3,Rozhrania: USB+USB host, ethernet,RAM: 1,5GB, Pam. Karta: neuvedené,Zasobnik: 650,Rozlisenie: 1200dpi,Duplex: áno,Zaruka: 3+NBD+8/5"/>
    <n v="2783"/>
    <n v="8"/>
    <n v="22264"/>
    <n v="229.78"/>
    <n v="424.2"/>
    <n v="1030.3"/>
  </r>
  <r>
    <n v="770"/>
    <s v="Rámcová dohoda - Dodávka výpočtovej techniky"/>
    <n v="4274843"/>
    <s v="https://crz.gov.sk/4274843"/>
    <s v="https://www.crz.gov.sk/data/att/4274857_dokument1.pdf"/>
    <x v="4"/>
    <s v="Typ: Lexmark MX421ade,Technologia: laser,Farba: nie,Formaty: A4,Rozhrania: USB, ethernet,RAM: 512MB,Pam. karta: neuvedené,Zasobnik: 350,R. tlace: 1200dpi,R. kopirky: 1200dpi,R. skenera: 1200/600dpi ČB/F,Duplex: áno,fax,Zaruka: 2+NBD+8/5"/>
    <n v="350"/>
    <n v="16"/>
    <n v="5600"/>
    <n v="393.94499999999999"/>
    <n v="710.01499999999999"/>
    <n v="2552.0574999999999"/>
  </r>
  <r>
    <n v="771"/>
    <s v="Rámcová dohoda - Dodávka výpočtovej techniky"/>
    <n v="4274843"/>
    <s v="https://crz.gov.sk/4274843"/>
    <s v="https://www.crz.gov.sk/data/att/4274857_dokument1.pdf"/>
    <x v="4"/>
    <s v="Typ: Lexmark MC2535adwe,Technologia: laser,Farba: áno,Formaty: A4,Rozhrania: USB, ethernet,RAM: 2GB,Pam. karta: neuvedené,Zasobnik: 250,R. tlace: 1200dpi,R. kopirky: 1200dpi,R. skenera: 1200/600dpi ČB/F,Duplex: áno,Zaruka: 2+NBD+8/5"/>
    <n v="434"/>
    <n v="16"/>
    <n v="6944"/>
    <n v="393.94499999999999"/>
    <n v="710.01499999999999"/>
    <n v="2552.0574999999999"/>
  </r>
  <r>
    <n v="772"/>
    <s v="Rámcová dohoda - Dodávka výpočtovej techniky"/>
    <n v="4274843"/>
    <s v="https://crz.gov.sk/4274843"/>
    <s v="https://www.crz.gov.sk/data/att/4274857_dokument1.pdf"/>
    <x v="4"/>
    <s v="Typ:Triumph Adler 8006ci,Technologia: laser,Farba: áno,Formaty: A3+,Rozhrania: USB, ethernet,RAM: 4.5GB,Pam. karta: 8GB SSD + 320GB HDD,Zasobnik: 2x500 A3+2x3000 A4-A6,R. tlace: 1200dpi,R. kopirky: 600dpi,R. skenera: 600dpi,Duplex: áno,zošívačka,Zaruka: 3+NBD+8/5"/>
    <n v="10134"/>
    <n v="4"/>
    <n v="40536"/>
    <n v="393.94499999999999"/>
    <n v="710.01499999999999"/>
    <n v="2552.0574999999999"/>
  </r>
  <r>
    <n v="773"/>
    <s v="Rámcová dohoda - Dodávka výpočtovej techniky"/>
    <n v="4274843"/>
    <s v="https://crz.gov.sk/4274843"/>
    <s v="https://www.crz.gov.sk/data/att/4274857_dokument1.pdf"/>
    <x v="4"/>
    <s v="Typ:Triumph Adler 2507ci,Technologia: laser+AIM,Farba: áno,Formaty: A3,Rozhrania: USB, ethernet,RAM: 4.5GB,Pam. karta: 32GB SSD ,Zasobnik: 2x500 A3+7150 A4,R. tlace: 1200dpi,R. kopirky: 600dpi,R. skenera: 600dpi,Duplex: áno,Zaruka: 2+NBD+8/5"/>
    <n v="2506.39"/>
    <n v="1"/>
    <n v="2506.39"/>
    <n v="393.94499999999999"/>
    <n v="710.01499999999999"/>
    <n v="2552.0574999999999"/>
  </r>
  <r>
    <n v="774"/>
    <s v="Rámcová dohoda - Dodávka výpočtovej techniky"/>
    <n v="4274843"/>
    <s v="https://crz.gov.sk/4274843"/>
    <s v="https://www.crz.gov.sk/data/att/4274857_dokument1.pdf"/>
    <x v="4"/>
    <s v="Typ:Triumph Adler 3262i,Technologia: laser+AIM,Farba: nie,Formaty: A3,Rozhrania: USB, ethernet,RAM: 2GB,Pam. karta: 32GB SSD ,Zasobnik: 2x500,R. tlace: 1200dpi,R. kopirky: 600dpi,R. skenera: 600dpi,Duplex: áno,Zaruka: 2+NBD+8/5"/>
    <n v="1967"/>
    <n v="1"/>
    <n v="1967"/>
    <n v="393.94499999999999"/>
    <n v="710.01499999999999"/>
    <n v="2552.0574999999999"/>
  </r>
  <r>
    <n v="775"/>
    <s v="Rámcová dohoda - Dodávka výpočtovej techniky"/>
    <n v="4274843"/>
    <s v="https://crz.gov.sk/4274843"/>
    <s v="https://www.crz.gov.sk/data/att/4274857_dokument1.pdf"/>
    <x v="13"/>
    <s v="Typ: HP Designjet T2530,Technologia: perokresba atramentová,Farba: áno,Formaty: A0,Rozhrania: USB, ethernet,RAM: 128GB,Pam. karta: HDD500GB,Zasobnik: rolka/automatická rezačka,Rozlisenie: 2400x1200dpi,Zaruka: 3+NBD+8/5"/>
    <n v="11000"/>
    <n v="1"/>
    <n v="11000"/>
    <n v="1383.98"/>
    <n v="1866.7"/>
    <n v="4574.5833333333339"/>
  </r>
  <r>
    <n v="776"/>
    <s v="Rámcová dohoda - Dodávka výpočtovej techniky"/>
    <n v="4274843"/>
    <s v="https://crz.gov.sk/4274843"/>
    <s v="https://www.crz.gov.sk/data/att/4274857_dokument1.pdf"/>
    <x v="3"/>
    <s v="Typ: Epson SureColor SC-P5000 STD,Technologia: atrament,Farba: áno,Formaty: A2,Rozhrania: USB, ethernet,RAM: 384GB, Pam. Karta: neuvedené,Zasobnik: 250,Rozlisenie: 1440dpi,Duplex: neuvedené,Zaruka: 2+NBD+8/5"/>
    <n v="2400"/>
    <n v="1"/>
    <n v="2400"/>
    <n v="229.78"/>
    <n v="424.2"/>
    <n v="1030.3"/>
  </r>
  <r>
    <n v="77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9200L-48T-4G-E Catalyst 9200L Network Essentials,Porty/rychl.: 48x1Gbps + 4x1Gbps SFP Uplink,Uroven: neuvedené,Vyhot.: 1U,VLAN: neuvedené,Zaruka: 5+3lic"/>
    <n v="1880"/>
    <n v="85"/>
    <n v="159800"/>
    <n v="1759.125"/>
    <n v="3923.7249999999999"/>
    <n v="12062.504999999999"/>
  </r>
  <r>
    <n v="77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9200L-48P-4G-E Catalyst 9200L Network Essentials,Porty/rychl.: 48x1Gbps PoE + 4x1Gbps SFP Uplink,Uroven: neuvedené,Vyhot.: 1U,VLAN: neuvedené,Zaruka: 5+3lic"/>
    <n v="2495.8333333333335"/>
    <n v="73"/>
    <n v="182195.83333333334"/>
    <n v="1759.125"/>
    <n v="3923.7249999999999"/>
    <n v="12062.504999999999"/>
  </r>
  <r>
    <n v="77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9200L-24T-4G-E Catalyst 9200L Network Essentials,Porty/rychl.: 24x1Gbps + 4x1Gbps SFP Uplink,Uroven: neuvedené,Vyhot.: 1U,VLAN: neuvedené,Zaruka: 5+3lic"/>
    <n v="1067.5"/>
    <n v="30"/>
    <n v="32025"/>
    <n v="1759.125"/>
    <n v="3923.7249999999999"/>
    <n v="12062.504999999999"/>
  </r>
  <r>
    <n v="78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9200L-24P-4G-E Catalyst 9200L Network Essentials,Porty/rychl.: 24x1Gbps PoE + 4x1Gbps SFP Uplink,Uroven: neuvedené,Vyhot.: 1U,VLAN: neuvedené,Zaruka: 5+3lic"/>
    <n v="1223.3333333333335"/>
    <n v="20"/>
    <n v="24466.666666666672"/>
    <n v="1759.125"/>
    <n v="3923.7249999999999"/>
    <n v="12062.504999999999"/>
  </r>
  <r>
    <n v="78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48T-4G-L Catalyst 1000,Porty/rychl.: 48x100Mbps + 2x1Gbps SFP Uplink,Uroven: neuvedené,Vyhot.: 1U,VLAN: neuvedené,Zaruka: 5"/>
    <n v="705.83333333333337"/>
    <n v="65"/>
    <n v="45879.166666666672"/>
    <n v="1759.125"/>
    <n v="3923.7249999999999"/>
    <n v="12062.504999999999"/>
  </r>
  <r>
    <n v="78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48P-4G-L Catalyst 1000,Porty/rychl.: 48x100Mbps PoE + 2x1Gbps SFP Uplink,Uroven: neuvedené,Vyhot.: 1U,VLAN: neuvedené,Zaruka: 5"/>
    <n v="1132.5"/>
    <n v="32"/>
    <n v="36240"/>
    <n v="1759.125"/>
    <n v="3923.7249999999999"/>
    <n v="12062.504999999999"/>
  </r>
  <r>
    <n v="78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24T-4G-L Catalyst 1000,Porty/rychl.: 24x100Mbps + 2x1Gbps SFP Uplink,Uroven: neuvedené,Vyhot.: 1U,VLAN: neuvedené,Zaruka: 5"/>
    <n v="426.66666666666669"/>
    <n v="22"/>
    <n v="9386.6666666666679"/>
    <n v="1759.125"/>
    <n v="3923.7249999999999"/>
    <n v="12062.504999999999"/>
  </r>
  <r>
    <n v="78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24P-4G-L Catalyst 1000,Porty/rychl.: 24x100Mbps PoE + 2x1Gbps SFP Uplink,Uroven: neuvedené,Vyhot.: 1U,VLAN: neuvedené,Zaruka: 5"/>
    <n v="665"/>
    <n v="22"/>
    <n v="14630"/>
    <n v="1759.125"/>
    <n v="3923.7249999999999"/>
    <n v="12062.504999999999"/>
  </r>
  <r>
    <n v="78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16P-2G-L Catalyst 1000,Porty/rychl.: 16x100Mbps PoE + 2x1Gbps SFP Uplink,Uroven: neuvedené,Vyhot.: 1U,VLAN: neuvedené,Zaruka: 5"/>
    <n v="467.5"/>
    <n v="22"/>
    <n v="10285"/>
    <n v="1759.125"/>
    <n v="3923.7249999999999"/>
    <n v="12062.504999999999"/>
  </r>
  <r>
    <n v="78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8P-2G-L Catalyst 1000,Porty/rychl.: 16x100Mbps PoE + 2x1Gbps SFP Uplink,Uroven: neuvedené,Vyhot.: 1U,VLAN: neuvedené,Zaruka: 5"/>
    <n v="279.16666666666669"/>
    <n v="12"/>
    <n v="3350"/>
    <n v="1759.125"/>
    <n v="3923.7249999999999"/>
    <n v="12062.504999999999"/>
  </r>
  <r>
    <n v="78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8"/>
    <s v="Typ: Cisco C1000-8T-2G-L Catalyst 1000,Porty/rychl.: 8x100Mbps + 2x1Gbps SFP Uplink,Uroven: neuvedené,Vyhot.: 1U,VLAN: neuvedené,Zaruka: 5"/>
    <n v="254.16666666666669"/>
    <n v="20"/>
    <n v="5083.3333333333339"/>
    <n v="1759.125"/>
    <n v="3923.7249999999999"/>
    <n v="12062.504999999999"/>
  </r>
  <r>
    <n v="78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3"/>
    <s v="Typ: Cisco C9407R-96U-BNDL-A Catalyst 9400 Series 7 Slot chassis+Cisco 9400 series - switch+zdroj+licencie+expandéry,Porty/rychl.: 96x1Gbit neblok + 24x1Gbit SFP neblok + 24x 10Gbit SFP plus,Uroven: neuvedené,Vyhot.: 1U,VLAN: 4096,Zaruka: 2+NBD+8/5"/>
    <n v="77673.333333333343"/>
    <n v="5"/>
    <n v="388366.66666666674"/>
    <n v="37430.41333333333"/>
    <n v="66159.166666666672"/>
    <n v="71916.25"/>
  </r>
  <r>
    <n v="78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3"/>
    <s v="Typ: Cisco C9606R-96U-BNDL-A Catalyst 9600 Series 6 Slot chassis + Cisco C9600 series - switch+zdroj+licencie+expandéry,Porty/rychl.: 48x10/25Gbit SFP28 (1Gbit kompat.) + 144x10/1Gbit,Uroven: neuvedené,Vyhot.: 1U,VLAN: neuvedené,Zaruka: 2+NBD+8/5"/>
    <n v="66159.166666666672"/>
    <n v="4"/>
    <n v="264636.66666666669"/>
    <n v="37430.41333333333"/>
    <n v="66159.166666666672"/>
    <n v="71916.25"/>
  </r>
  <r>
    <n v="79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4"/>
    <s v="Typ: Cisco CP-7811-K9,Porty: 2x10/100Mbit,Video: nie,Displej: Monochromat. 384x106,RychlVolby: 1,Protokoly: SCCP alebo SIP,VLAN: 802.1q,Handsfree: analóg,Ostatne: PoE, switch na prip. K PC,Zaruka: 2"/>
    <n v="320"/>
    <n v="75"/>
    <n v="24000"/>
    <n v="372.55833333333334"/>
    <n v="508.75000000000006"/>
    <n v="725.7166666666667"/>
  </r>
  <r>
    <n v="79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4"/>
    <s v="Typ: Cisco CP-8841-K9,Porty: 2x1Gbit,Video: nie,Displej: Farba 800x480,RychlVolby: 10,Protokoly: SCCP alebo SIP,VLAN: 802.1q,Handsfree: analóg,Ostatne: PoE, switch na prip. K PC 1Gbit,Zaruka: 2"/>
    <n v="500.83333333333337"/>
    <n v="42"/>
    <n v="21035"/>
    <n v="372.55833333333334"/>
    <n v="508.75000000000006"/>
    <n v="725.7166666666667"/>
  </r>
  <r>
    <n v="79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4"/>
    <s v="Typ: Cisco CP-8865-K9,Porty: 2x1Gbit,Video: 720p+kamera,Displej: Farba 800x480,RychlVolby: 10+4,Protokoly: SCCP alebo SIP,VLAN: 802.1q,Handsfree: bluetooth 3.0+analóg,Ostatne: PoE, switch na prip. K PC 1Gbit+wifi, USB,Zaruka: 2"/>
    <n v="516.66666666666674"/>
    <n v="45"/>
    <n v="23250.000000000004"/>
    <n v="372.55833333333334"/>
    <n v="508.75000000000006"/>
    <n v="725.7166666666667"/>
  </r>
  <r>
    <n v="79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5"/>
    <s v="Typ: Cisco CP-DX80-K9,Displej: 23&quot; FHD,Video: HD,Audio: 48kHz vzork. + 20kHz HQ audio,Priepustnost: 3Mbps H.323 a SIP,Ostatne: IP telefón, 2-port 1Gbit switch k PC,Zaruka: 3+NBD+8/5"/>
    <n v="2085.8333333333335"/>
    <n v="20"/>
    <n v="41716.666666666672"/>
    <n v="5198.3333333333339"/>
    <n v="11316.666666666668"/>
    <n v="29499.166666666668"/>
  </r>
  <r>
    <n v="79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5"/>
    <s v="Typ: Cisco CS-DESKPRO-K9,Displej: 27&quot; UHD,Video: UHD,Audio: 48 kHz vzork. 20kHz HQ audio,Priepustnost:neuvedené,Ostatne: IP telefón, 2-port 1Gbit switch k PC,Zaruka: 2+NBD+8/5"/>
    <n v="5198.3333333333339"/>
    <n v="18"/>
    <n v="93570.000000000015"/>
    <n v="5198.3333333333339"/>
    <n v="11316.666666666668"/>
    <n v="29499.166666666668"/>
  </r>
  <r>
    <n v="79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5"/>
    <s v="Typ: Cisco CS-BOARD55S-G-K9,Displej: 55&quot; UHD multitouch,Video: UHD,Audio: 12 mikrofónov 48 kHz vzork. 20kHz HQ audio,Priepustnost:neuvedené,Ostatne: 1Gbit LAN+wifi, NTP,Zaruka: 3+NBD+8/5"/>
    <n v="11316.666666666668"/>
    <n v="18"/>
    <n v="203700.00000000003"/>
    <n v="5198.3333333333339"/>
    <n v="11316.666666666668"/>
    <n v="29499.166666666668"/>
  </r>
  <r>
    <n v="79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5"/>
    <s v="Typ: Cisco CS-BOARD70S-G-K9,Displej: 70&quot; UHD multitouch,Video: UHD,Audio: 12 mikrofónov 48 kHz vzork. 20kHz HQ audio,Priepustnost:neuvedené,Ostatne: 1Gbit LAN+wifi, NTP,Zaruka: neuvedené"/>
    <n v="29499.166666666668"/>
    <n v="12"/>
    <n v="353990"/>
    <n v="5198.3333333333339"/>
    <n v="11316.666666666668"/>
    <n v="29499.166666666668"/>
  </r>
  <r>
    <n v="79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5"/>
    <s v="Typ: Cisco CS-BOARD85S-G-K9,Displej: 70&quot; UHD multitouch,Video: UHD,Audio: 12 mikrofónov 48 kHz vzork. 20kHz HQ audio,Priepustnost:neuvedené,Ostatne: 1Gbit LAN+wifi, NTP,Zaruka: neuvedené"/>
    <n v="49200.833333333336"/>
    <n v="5"/>
    <n v="246004.16666666669"/>
    <n v="5198.3333333333339"/>
    <n v="11316.666666666668"/>
    <n v="29499.166666666668"/>
  </r>
  <r>
    <n v="79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6"/>
    <s v="Typ: AXIS P1447-LE Network Camera,Vyhot.: IP66,Rozlisenie: 2592x1944,CCD: 5MPx,FPS: min. 24,Zoom: neuvedené,Rozhranie: LAN+SD karta,Zaruka: 3"/>
    <n v="845.83333333333337"/>
    <n v="120"/>
    <n v="101500"/>
    <n v="521.25"/>
    <n v="707.91666666666674"/>
    <n v="851.875"/>
  </r>
  <r>
    <n v="79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9"/>
    <s v="Typ: Cisco AIR-AP1832I-E-K9802.11ac Wave 2,Porty:1x1Gbit LAN+PoE+manažment,VPN: neuvedené,VLAN: neuvedené,PocetSSID: neuvedené,Normy: IEEE 802.3af + 802.11ac+n+ag,MIMO: 3x3:3,Pasma: 2.4+5GHz,Roaming: neuvedené,Podpora: neuvedené,Zaruka: 2"/>
    <n v="509.16666666666669"/>
    <n v="160"/>
    <n v="81466.666666666672"/>
    <n v="88.21"/>
    <n v="134.57"/>
    <n v="252.7"/>
  </r>
  <r>
    <n v="80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9"/>
    <s v="Typ: Cisco C9115AXI-E Catalyst,Porty:1x1Gbit LAN+PoE+manažment,VPN: neuvedené,VLAN: neuvedené,PocetSSID: neuvedené,Normy: IEEE 802.3af + 802.11ax,MIMO: 4x4:4,Pasma: 2.4+5GHz,Roaming: neuvedené,Podpora: neuvedené,Zaruka: 2"/>
    <n v="656.66666666666674"/>
    <n v="35"/>
    <n v="22983.333333333336"/>
    <n v="88.21"/>
    <n v="134.57"/>
    <n v="252.7"/>
  </r>
  <r>
    <n v="80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2"/>
    <s v="Typ: Lenovo Tab M8,Proc.: 4-jadro 2.3GHz,RAM: 3GB,Disk: 32GB int.,Disp.: 1920x1200,OS: Android 9.0,Fotoaparat 2x,bluetooth,wifi,gps,Zaruka: neuvedené"/>
    <n v="170.83333333333334"/>
    <n v="18"/>
    <n v="3075"/>
    <n v="307.64999999999998"/>
    <n v="533.63"/>
    <n v="761.32"/>
  </r>
  <r>
    <n v="80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2"/>
    <s v="Typ: Samsung Galaxy Tab A 2019 10.1 LTE,Proc.: 2-jadro 1.8GHz,RAM: 2GB,Disk: 32GB int.,Disp.: 1920x1200,OS: Android 9.0,Fotoaparat 2x,bluetooth,wifi,gps,Zaruka: neuvedené"/>
    <n v="237.5"/>
    <n v="19"/>
    <n v="4512.5"/>
    <n v="307.64999999999998"/>
    <n v="533.63"/>
    <n v="761.32"/>
  </r>
  <r>
    <n v="80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2"/>
    <s v="Typ: Apple iPad 10.2 32 GB,Proc.: 6-jadro 2.49GHz,RAM: 3GB,Disk: 32GB int.,Disp.: 2160x1620 Retina,OS: iPadOS,Fotoaparat 2x,bluetooth,wifi,gps,LTE,Zaruka: neuvedené"/>
    <n v="484.16666666666669"/>
    <n v="40"/>
    <n v="19366.666666666668"/>
    <n v="307.64999999999998"/>
    <n v="533.63"/>
    <n v="761.32"/>
  </r>
  <r>
    <n v="80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2"/>
    <s v="Typ: Apple iPad Pro 128 GB,Proc.: 8-jadro 2.49GHz,RAM: 8GB,Disk: 128GB int.,Disp.: 2732x2048 Liquid retina,OS: iPadOS,Fotoaparat 2x,bluetooth,wifi,gps,LTE,Zaruka: neuvedené"/>
    <n v="1190"/>
    <n v="45"/>
    <n v="53550"/>
    <n v="307.64999999999998"/>
    <n v="533.63"/>
    <n v="761.32"/>
  </r>
  <r>
    <n v="80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Pro 300 G3,Proc: 6-jadro passmark 9478,RAM: 8GB,Disk: SSD NVMe 256GB,VGA: zdiel,OS: Win10Pro,klávesnica,myš,Zaruka: neuvedené"/>
    <n v="459.16666666666669"/>
    <n v="32"/>
    <n v="14693.333333333334"/>
    <n v="680"/>
    <n v="991"/>
    <n v="1485.8333333333335"/>
  </r>
  <r>
    <n v="80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Slim S01-aD0011nc,Proc: 4-jadro passmark 3040,RAM: 8GB,Disk: HDD SATA 1TB,VGA: zdiel,OS: Win10Pro,klávesnica,myš,Zaruka: neuvedené"/>
    <n v="320"/>
    <n v="80"/>
    <n v="25600"/>
    <n v="680"/>
    <n v="991"/>
    <n v="1485.8333333333335"/>
  </r>
  <r>
    <n v="80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Slim S01-aD0013nc,Proc: 4-jadro passmark 3040,RAM: 8GB,Disk: SSD NVMe 500GB,VGA: zdiel,OS: Win10Pro,klávesnica,myš,Zaruka: neuvedené"/>
    <n v="336.66666666666669"/>
    <n v="210"/>
    <n v="70700"/>
    <n v="680"/>
    <n v="991"/>
    <n v="1485.8333333333335"/>
  </r>
  <r>
    <n v="80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Pavilion Gaming TG01-0002nc,Proc: 6-jadro passmark 9544,RAM: 8GB,Disk: SSD NVMe 256GB + HDD SATA 1TB,VGA: nezdiel nVidia GTX1650 4GB passmark 7806,OS: Win10Pro,klávesnica,myš,Zaruka: neuvedené"/>
    <n v="689.16666666666674"/>
    <n v="190"/>
    <n v="130941.66666666669"/>
    <n v="680"/>
    <n v="991"/>
    <n v="1485.8333333333335"/>
  </r>
  <r>
    <n v="80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Lenovo PC V30a-24IML AiO,Proc: 2-jadro passmark 4005,RAM: 8GB,Disk: HDD SATA 1TB,VGA: zdiel,OS: Win10Pro,klávesnica,myš,Monitor: FHD 23.8&quot; IPS LED dotyk,Zaruka: 1"/>
    <n v="550"/>
    <n v="40"/>
    <n v="22000"/>
    <n v="680"/>
    <n v="991"/>
    <n v="1485.8333333333335"/>
  </r>
  <r>
    <n v="81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Lenovo PC V30a-24IML AiO,Proc: 4-jadro passmark 6405,RAM: 8GB,Disk: SSD SATA 256GB,VGA: zdiel,OS: Win10Pro,klávesnica,myš,Monitor: FHD 23.8&quot; IPS LED dotyk,Zaruka: 1"/>
    <n v="615.83333333333337"/>
    <n v="80"/>
    <n v="49266.666666666672"/>
    <n v="680"/>
    <n v="991"/>
    <n v="1485.8333333333335"/>
  </r>
  <r>
    <n v="81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Intel NUC Kit 8i3CYSN,Proc: 2-jadro passmark 4376,RAM: 4GB,Disk: HDD SATA 1TB,VGA: zdiel,OS: Win10Pro,klávesnica,myš,Zaruka: neuvedené"/>
    <n v="377.5"/>
    <n v="60"/>
    <n v="22650"/>
    <n v="680"/>
    <n v="991"/>
    <n v="1485.8333333333335"/>
  </r>
  <r>
    <n v="81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Intel NUC 8i5BEHFA2,Proc: 4-jadro passmark 8131,RAM: 4GB+Intel Optane 16GB,Disk: HDD SATA 1TB,VGA: zdiel,OS: Win10Pro,klávesnica,myš,Zaruka: neuvedené"/>
    <n v="525"/>
    <n v="60"/>
    <n v="31500"/>
    <n v="680"/>
    <n v="991"/>
    <n v="1485.8333333333335"/>
  </r>
  <r>
    <n v="81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Pavilion 27 AiO,Proc: 8-jadro passmark 13092,RAM: 16GB,Disk: SSD SATA 512GB + HDD SATA 1TB,VGA: zdiel,OS: Win10Pro,klávesnica,myš,Monitor: UHD 27&quot; IPS LED dotyk,Zaruka: neuvedené"/>
    <n v="1387.5"/>
    <n v="65"/>
    <n v="90187.5"/>
    <n v="680"/>
    <n v="991"/>
    <n v="1485.8333333333335"/>
  </r>
  <r>
    <n v="81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Lenovo ThinkCentre M720t Tower,Proc: 8-jadro passmark 13387,RAM: 16GB,Disk: SSD SATA 512GB,VGA: zdiel,OS: Win10Pro,klávesnica,myš,Zaruka: 3+OnSite"/>
    <n v="829.16666666666674"/>
    <n v="180"/>
    <n v="149250"/>
    <n v="680"/>
    <n v="991"/>
    <n v="1485.8333333333335"/>
  </r>
  <r>
    <n v="81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Z4 G4,Proc: 8-jadro passmark 19446,RAM: 32GB,Disk: SSD NVMe 512GB,VGA: nezdiel nVidia GeForce RTX 2080 Ti 11GB GDDR6 passmark 21797.,OS: Win10Pro,klávesnica,myš,DVD,Zaruka: neuvedené"/>
    <n v="4828.3333333333339"/>
    <n v="26"/>
    <n v="125536.66666666669"/>
    <n v="680"/>
    <n v="991"/>
    <n v="1485.8333333333335"/>
  </r>
  <r>
    <n v="81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Dell Precision T3630 TWR,Proc: 4-jadro passmark 9660,RAM: 16GB,Disk: SSD NVMe 256GB + HDD SATA 1TB,VGA: nezdiel nVidia Quadro Pro P2200 5GB passmark 9486.,OS: Win10Pro,klávesnica,myš,DVD,Zaruka: neuvedené"/>
    <n v="1485.8333333333335"/>
    <n v="28"/>
    <n v="41603.333333333336"/>
    <n v="680"/>
    <n v="991"/>
    <n v="1485.8333333333335"/>
  </r>
  <r>
    <n v="81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0"/>
    <s v="Typ: HP Z4 G4,Proc: 8-jadro passmark 19446,RAM: 32GB,Disk: SSD NVMe 512GB,VGA: nezdiel nVidia Quadro Pro P2200 5GB passmark 9486.,OS: Win10Pro,klávesnica,myš,DVD,Zaruka: neuvedené"/>
    <n v="2463.3333333333335"/>
    <n v="27"/>
    <n v="66510"/>
    <n v="680"/>
    <n v="991"/>
    <n v="1485.8333333333335"/>
  </r>
  <r>
    <n v="81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Asus LCD VZ239HE,Rozlisenie: 1920x1080,Frekv: 60 Hz,Velkost: 23&quot;,Kontrast: 3000:1,Vstupy: VGA, HDMI,matný,Zaruka: neuvedené"/>
    <n v="102.5"/>
    <n v="240"/>
    <n v="24600"/>
    <n v="141.67500000000001"/>
    <n v="194"/>
    <n v="266.75"/>
  </r>
  <r>
    <n v="81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Acer LCD EK220QAbi,Rozlisenie: 1920x1080,Frekv: 75 Hz,Velkost: 21.5&quot;,Kontrast: 3000:1,Vstupy: VGA, HDMI,matný,Zaruka: neuvedené"/>
    <n v="60.833333333333336"/>
    <n v="210"/>
    <n v="12775"/>
    <n v="141.67500000000001"/>
    <n v="194"/>
    <n v="266.75"/>
  </r>
  <r>
    <n v="82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Philips MT IPS LED 273V7QDSB/00,Rozlisenie: 1920x1080,Frekv: 60 Hz,Velkost: 27&quot;,Kontrast: 1000:1,Vstupy: DVI, HDMI,matný,Zaruka: neuvedené"/>
    <n v="106.66666666666667"/>
    <n v="50"/>
    <n v="5333.3333333333339"/>
    <n v="141.67500000000001"/>
    <n v="194"/>
    <n v="266.75"/>
  </r>
  <r>
    <n v="82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Dell S2721D WLED LCD,Rozlisenie: 2560x1440,Frekv: 60 Hz,Velkost: 27&quot;,Kontrast: 1000:1,Vstupy: HDMI, DVI, matný,Zaruka: neuvedené"/>
    <n v="184.16666666666669"/>
    <n v="60"/>
    <n v="11050.000000000002"/>
    <n v="141.67500000000001"/>
    <n v="194"/>
    <n v="266.75"/>
  </r>
  <r>
    <n v="82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AOC MT IPS LCD WLED U2790PQU,Rozlisenie: 3840x2160,Frekv: 60 Hz,Velkost: 27&quot;,Kontrast: 1000:1,Vstupy: HDMI 2.0, DP 1.2, matný, nastaviteľný,Zaruka: neuvedené"/>
    <n v="254.16666666666669"/>
    <n v="60"/>
    <n v="15250.000000000002"/>
    <n v="141.67500000000001"/>
    <n v="194"/>
    <n v="266.75"/>
  </r>
  <r>
    <n v="82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2"/>
    <s v="Typ: LG MT IPS LCD LED 34WL750,Rozlisenie: 3440x1440,Frekv: 60 Hz,Velkost: 34&quot;,Kontrast: 1000:1,Vstupy: HDMI 2.0, DP 1.2, USB, matný,Zaruka: neuvedené"/>
    <n v="369.16666666666669"/>
    <n v="16"/>
    <n v="5906.666666666667"/>
    <n v="141.67500000000001"/>
    <n v="194"/>
    <n v="266.75"/>
  </r>
  <r>
    <n v="82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160 Gen10 3204,Proc: CPU Intel Xeon Bronze 3204, 6-core,6-thread 1.9GHz,RAM: 16GB,Disk: HDD 3x 2TB 7200 LFF SATA,Radic: RAID0/1/5/10,Ethernet: 2x 1Gbps,GPU: Zdiel.,Vyhotovenie: 1U,OS nezávislý systém manažment,Zaruka: neuvedené"/>
    <n v="1715.8333333333335"/>
    <n v="20"/>
    <n v="34316.666666666672"/>
    <n v="7209.15"/>
    <n v="15534.78"/>
    <n v="29950.799999999999"/>
  </r>
  <r>
    <n v="82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360 Gen10 4208,Proc: CPU Intel Xeon Silver 4208, 8-core,16-thread 2.1GHz,RAM: 16GB,Disk: HDD 2x 1TB 7200 LFF SATA,Radic: RAID0/1/5/6/10/50/60/1ADM/10ADM,Ethernet: 4x 1Gbps,GPU: Zdiel.,Vyhotovenie: 1U,OS nezávislý systém manažment,Zaruka: neuvedené"/>
    <n v="2192.5"/>
    <n v="20"/>
    <n v="43850"/>
    <n v="7209.15"/>
    <n v="15534.78"/>
    <n v="29950.799999999999"/>
  </r>
  <r>
    <n v="82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360 Gen10 4208,Proc: 2x CPU Intel Xeon Silver 4208, 8-core,16-thread 2.1GHz,RAM: 16GB,Disk: HDD 2x 300GB 10000 SFF SAS,Radic: RAID0/1/5/6/10/50/60/1ADM/10ADM,Ethernet: 4x 1Gbps,GPU: Zdiel.,Vyhotovenie: 1U,OS nezávislý systém manažment,Zaruka: neuvedené"/>
    <n v="2586.666666666667"/>
    <n v="30"/>
    <n v="77600.000000000015"/>
    <n v="7209.15"/>
    <n v="15534.78"/>
    <n v="29950.799999999999"/>
  </r>
  <r>
    <n v="82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380 Gen10 4208,Proc: 2x CPU Intel Xeon Silver 4208, 8-core,16-thread 2.1GHz,RAM: 32GB,Disk: HDD 3x 300GB 10000 SFF SAS,Radic: RAID0/1/5/6/10/50/60/1ADM/10ADM,Ethernet: 4x 1Gbps,GPU: Zdiel.,Vyhotovenie: 2U,OS nezávislý systém manažment,Zaruka: neuvedené"/>
    <n v="3695"/>
    <n v="17"/>
    <n v="62815"/>
    <n v="7209.15"/>
    <n v="15534.78"/>
    <n v="29950.799999999999"/>
  </r>
  <r>
    <n v="82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380 Gen10 4208,Proc: 2x CPU Intel Xeon Silver 4208, 8-core,16-thread 2.1GHz,RAM: 96GB,Disk: HDD 4x 300GB 10000 SFF SAS,Radic: RAID0/1/5/6/10/50/60/1ADM/10ADM,Ethernet: 4x 1Gbps,GPU: Zdiel.,Vyhotovenie: 2U,OS nezávislý systém manažment,Zaruka: neuvedené"/>
    <n v="4655.8333333333339"/>
    <n v="15"/>
    <n v="69837.500000000015"/>
    <n v="7209.15"/>
    <n v="15534.78"/>
    <n v="29950.799999999999"/>
  </r>
  <r>
    <n v="82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HPE ProLiant DL380 Gen10 4208,Proc: 2x CPU Intel Xeon Silver 4208, 8-core,16-thread 2.1GHz,RAM: 96GB,Disk: HDD 3x 300GB 10000 SFF SAS + 2x 1.2TB 10000 SFF SAS,Radic: RAID0/1/5/6/10/50/60/1ADM/10ADM,Ethernet: 4x 1Gbps,GPU: Zdiel.,Vyhotovenie: 2U,OS nezávislý systém manažment,Zaruka: neuvedené"/>
    <n v="4935"/>
    <n v="10"/>
    <n v="49350"/>
    <n v="7209.15"/>
    <n v="15534.78"/>
    <n v="29950.799999999999"/>
  </r>
  <r>
    <n v="83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Cisco UCSB-B200-M5-U M5 Blade,Proc: 2x CPU Intel Xeon Silver 4210, 10-core,20-thread 2.2GHz,RAM: 96GB,Disk: HDD 32GB Flash,Radic: RAID,Ethernet: 4+8x 10Gbps+FibreChannel switch,GPU: Zdiel.,Vyhotovenie: 2U,OS nezávislý systém manažment,Zaruka: 2+NBD+8/5"/>
    <n v="5025.8333333333339"/>
    <n v="18"/>
    <n v="90465.000000000015"/>
    <n v="7209.15"/>
    <n v="15534.78"/>
    <n v="29950.799999999999"/>
  </r>
  <r>
    <n v="83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8"/>
    <s v="Typ: Cisco UCSB-B200-M5-U M5 Blade,Proc: 2x CPU Intel Xeon Silver 4210, 10-core,20-thread 2.2GHz,RAM: 288GB,Disk: HDD 32GB Flash,Radic: RAID,Ethernet: 4+8x 10Gbps+FibreChannel switch,GPU: Zdiel.,Vyhotovenie: 2U,OS nezávislý systém manažment,Zaruka: 2+NBD+8/5"/>
    <n v="14502.5"/>
    <n v="18"/>
    <n v="261045"/>
    <n v="7209.15"/>
    <n v="15534.78"/>
    <n v="29950.799999999999"/>
  </r>
  <r>
    <n v="83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250 G7,Proc.: 2-jadro passmark 5128,RAM: 8GB,Disk: SSD NVMe 256GB,VGA: zdiel.,Disp: FHD,OS: bez, klávesnica SK/EN,TPM,DVD,Zaruka: neuvedené"/>
    <n v="340"/>
    <n v="60"/>
    <n v="20400"/>
    <n v="783.15"/>
    <n v="1196.3"/>
    <n v="1455.5"/>
  </r>
  <r>
    <n v="83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250 G7,Proc.: 2-jadro passmark 3647,RAM: 8GB,Disk: HDD SATA 1TB,VGA: zdiel.,Disp: FHD,OS: Win10, klávesnica SK/EN,TPM,DVD,Zaruka: neuvedené"/>
    <n v="340"/>
    <n v="60"/>
    <n v="20400"/>
    <n v="783.15"/>
    <n v="1196.3"/>
    <n v="1455.5"/>
  </r>
  <r>
    <n v="83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Lenovo IdeaPad S145,Proc.: 4-jadro passmark 7737,RAM: 8GB,Disk: SSD NVMe 512GB,VGA: zdiel.,Disp: FHD,OS: Win10Home, klávesnica SK/EN,TPM,Zaruka: neuvedené"/>
    <n v="484.16666666666669"/>
    <n v="60"/>
    <n v="29050"/>
    <n v="783.15"/>
    <n v="1196.3"/>
    <n v="1455.5"/>
  </r>
  <r>
    <n v="83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15s-fq1011nc,Proc.: 4-jadro passmark 8668,RAM: 8GB,Disk: SSD NVMe 512GB,VGA: zdiel.,Disp: FHD,OS: Win10, klávesnica SK/EN,TPM,Zaruka: neuvedené"/>
    <n v="738.33333333333337"/>
    <n v="65"/>
    <n v="47991.666666666672"/>
    <n v="783.15"/>
    <n v="1196.3"/>
    <n v="1455.5"/>
  </r>
  <r>
    <n v="83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Pavilion 13-an1001nc,Proc.: 4-jadro passmark 7737,RAM: 8GB,Disk: SSD NVMe 256GB,VGA: zdiel.,Disp: FHD,OS: Win10Home, klávesnica SK/EN,TPM,Zaruka: neuvedené"/>
    <n v="599.16666666666674"/>
    <n v="135"/>
    <n v="80887.500000000015"/>
    <n v="783.15"/>
    <n v="1196.3"/>
    <n v="1455.5"/>
  </r>
  <r>
    <n v="83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15-dw2003nc,Proc.: 4-jadro passmark 7737,RAM: 8GB,Disk: SSD NVMe 512GB,VGA: nVidia GeForce MX330 2GB passmark 2547,Disp: FHD,OS: Win10Home, klávesnica SK/EN,TPM,Zaruka: neuvedené"/>
    <n v="640"/>
    <n v="80"/>
    <n v="51200"/>
    <n v="783.15"/>
    <n v="1196.3"/>
    <n v="1455.5"/>
  </r>
  <r>
    <n v="83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HP 17-by3002nc,Proc.: 4-jadro passmark 7737,RAM: 8GB,Disk: SSD NVMe 512GB,VGA: zdiel.,Disp: FHD,OS: Win10Home, klávesnica SK/EN,TPM,Zaruka: neuvedené"/>
    <n v="631.66666666666674"/>
    <n v="65"/>
    <n v="41058.333333333336"/>
    <n v="783.15"/>
    <n v="1196.3"/>
    <n v="1455.5"/>
  </r>
  <r>
    <n v="83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DELL Inspiron 13z Touch,Proc.: 4-jadro passmark 6402,RAM: 8GB,Disk: SSD NVMe 512GB,VGA: zdiel.,Disp: UHD + dotyk,OS: Win10Home, klávesnica SK/EN,TPM,Zaruka: neuvedené"/>
    <n v="870"/>
    <n v="45"/>
    <n v="39150"/>
    <n v="783.15"/>
    <n v="1196.3"/>
    <n v="1455.5"/>
  </r>
  <r>
    <n v="84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DELL Inspiron 13z 7000 Touch,Proc.: 4-jadro passmark 6837,RAM: 16GB,Disk: SSD NVMe 512GB,VGA: zdiel.,Disp: UHD + dotyk,OS: Win10Home, klávesnica SK/EN,TPM,Zaruka: neuvedené"/>
    <n v="1215"/>
    <n v="44"/>
    <n v="53460"/>
    <n v="783.15"/>
    <n v="1196.3"/>
    <n v="1455.5"/>
  </r>
  <r>
    <n v="84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"/>
    <s v="Typ: Lenovo ThinkPad X1 Carbon 7,Proc.: 4-jadro passmark 6359,RAM: 16GB,Disk: SSD NVMe 1000GB,VGA: zdiel.,Disp: UHD,OS: Win10Pro, klávesnica SK/EN,TPM,Zaruka: neuvedené"/>
    <n v="2250"/>
    <n v="18"/>
    <n v="40500"/>
    <n v="783.15"/>
    <n v="1196.3"/>
    <n v="1455.5"/>
  </r>
  <r>
    <n v="84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3"/>
    <s v="Typ: HP Designjet T1700,Technologia: termálny atrament,Farba: áno,Formaty: A0,Rozhrania: USB, ethernet,RAM: 128GB,Pam. karta: HDD500GB,Zasobnik: rolka/automatická rezačka,Rozlisenie: 2400x1200dpi,Zaruka: neuvedené"/>
    <n v="3449.166666666667"/>
    <n v="2"/>
    <n v="6898.3333333333339"/>
    <n v="1383.98"/>
    <n v="1866.7"/>
    <n v="4574.5833333333339"/>
  </r>
  <r>
    <n v="84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3"/>
    <s v="Typ: HP Designjet T650,Technologia: termálny atrament,Farba: áno,Formaty: A1,Rozhrania: USB, ethernet, wifi,RAM: 1GB,Pam. karta: bez,Zasobnik: rolka/automatická rezačka,Rozlisenie: 2400x1200dpi,Zaruka: neuvedené"/>
    <n v="1355"/>
    <n v="2"/>
    <n v="2710"/>
    <n v="1383.98"/>
    <n v="1866.7"/>
    <n v="4574.5833333333339"/>
  </r>
  <r>
    <n v="84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"/>
    <s v="Typ: Xerox Phaser 3020Bi,Technologia: laser,Farba: nie,Formaty: A4,Rozhrania: USB,wifi,RAM: 8GB, Pam. Karta: bez,Zasobnik: 120,Rozlisenie: 1200dpi,Duplex: manuálne,Zaruka: neuvedené"/>
    <n v="60"/>
    <n v="45"/>
    <n v="2700"/>
    <n v="229.78"/>
    <n v="424.2"/>
    <n v="1030.3"/>
  </r>
  <r>
    <n v="84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"/>
    <s v="Typ: Brother HL-L2312DYJ1,Technologia: laser,Farba: nie,Formaty: A4,Rozhrania: USB,RAM: 32MB, Pam. Karta: bez,Zasobnik: 250,Rozlisenie: 1200dpi,Duplex: áno,Zaruka: neuvedené"/>
    <n v="75.833333333333343"/>
    <n v="35"/>
    <n v="2654.166666666667"/>
    <n v="229.78"/>
    <n v="424.2"/>
    <n v="1030.3"/>
  </r>
  <r>
    <n v="84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"/>
    <s v="Typ: Brother HL-L2372DNYJ1,Technologia: laser,Farba: nie,Formaty: A4,Rozhrania: USB, ethernet,RAM: 64MB, Pam. Karta: bez,Zasobnik: 250,Rozlisenie: 1200dpi,Duplex: áno,Zaruka: neuvedené"/>
    <n v="122.5"/>
    <n v="44"/>
    <n v="5390"/>
    <n v="229.78"/>
    <n v="424.2"/>
    <n v="1030.3"/>
  </r>
  <r>
    <n v="84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"/>
    <s v="Typ: Xerox VersaLink C7000V_DN,Technologia: laser,Farba: áno,Formaty: A3,Rozhrania: USB, ethernet,RAM: 2GB, Pam. Karta: bez,Zasobnik: 520,Rozlisenie: 1200dpi,Duplex: áno,Zaruka: neuvedené"/>
    <n v="1083.3333333333335"/>
    <n v="40"/>
    <n v="43333.333333333343"/>
    <n v="229.78"/>
    <n v="424.2"/>
    <n v="1030.3"/>
  </r>
  <r>
    <n v="84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3"/>
    <s v="Typ: HP LaserJet Enterprise 700 M712dn,Technologia: laser,Farba: nie,Formaty: A3,Rozhrania: USB, ethernet,RAM: 512MB, Pam. Karta: bez,Zasobnik: 200,Rozlisenie: 1200dpi,Duplex: áno,Zaruka: neuvedené"/>
    <n v="1625.8333333333335"/>
    <n v="20"/>
    <n v="32516.666666666672"/>
    <n v="229.78"/>
    <n v="424.2"/>
    <n v="1030.3"/>
  </r>
  <r>
    <n v="84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4"/>
    <s v="Typ: Konica Bizhub C300i,Technologia: laser,Farba: áno,Formaty: A3,Rozhrania: USB, ethernet,RAM: 8GB,Pam. karta: HDD 256GB,Zasobnik: 1000,R. tlace: 1200dpi,R. kopirky: neuvedené,R. skenera: neuvedené,Duplex: áno,Zaruka: neuvedené"/>
    <n v="3785.8333333333335"/>
    <n v="10"/>
    <n v="37858.333333333336"/>
    <n v="393.94499999999999"/>
    <n v="710.01499999999999"/>
    <n v="2552.0574999999999"/>
  </r>
  <r>
    <n v="85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4"/>
    <s v="Typ: Brother DCP-L2512D,Technologia: laser,Farba: nie,Formaty: A4,Rozhrania: USB,RAM: 64MB,Pam. karta: bez,Zasobnik: 250,R. tlace: 1200dpi,R. kopirky: 1200dpi,R. skenera: 1200dpi,Duplex: áno,Zaruka: neuvedené"/>
    <n v="98.333333333333343"/>
    <n v="80"/>
    <n v="7866.6666666666679"/>
    <n v="393.94499999999999"/>
    <n v="710.01499999999999"/>
    <n v="2552.0574999999999"/>
  </r>
  <r>
    <n v="85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4"/>
    <s v="Typ: Canon i-SENSYS MF643Cdw,Technologia: laser,Farba: áno,Formaty: A4,Rozhrania: USB, ethernet, wifi,RAM: 1GB,Pam. karta: bez,Zasobnik: 250,R. tlace: 600dpi,R. kopirky: 1200dpi,R. skenera: 1200dpi,Duplex: áno,Zaruka: neuvedené"/>
    <n v="229.16666666666669"/>
    <n v="64"/>
    <n v="14666.666666666668"/>
    <n v="393.94499999999999"/>
    <n v="710.01499999999999"/>
    <n v="2552.0574999999999"/>
  </r>
  <r>
    <n v="85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6"/>
    <s v="Typ: Original Prusa i3 MK3S kit,TlacPriestor: 210x210x250mm,Mat: 1.75mm PLA, ABS, Nylon, TPE, HIPS, TPU, PETT, Laywood, Laybrick, PVA, FLEX, ASA,Rychl.: 200mm/s,Rozhrania: USB,Pamat: SD karta,Vyhot: stavebnica,Zaruka: neuvedené"/>
    <n v="722.5"/>
    <n v="15"/>
    <n v="10837.5"/>
    <n v="935.83333333333337"/>
    <n v="2184"/>
    <n v="3900.8333333333335"/>
  </r>
  <r>
    <n v="85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6"/>
    <s v="Typ: Original Prusa i3 MK3S,TlacPriestor: 210x210x250mm,Mat: 1.75mm PLA, ABS, Nylon, TPE, HIPS, TPU, PETT, Laywood, Laybrick, PVA, FLEX, ASA,Rychl.: 200mm/s,Rozhrania: USB,Pamat: SD karta,Vyhot: komplet,Zaruka: neuvedené"/>
    <n v="935.83333333333337"/>
    <n v="15"/>
    <n v="14037.5"/>
    <n v="935.83333333333337"/>
    <n v="2184"/>
    <n v="3900.8333333333335"/>
  </r>
  <r>
    <n v="85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6"/>
    <s v="Typ: Ultimaker S3,TlacPriestor: 230x190x200mm,Mat: 2.85 mm PLA, tough PLA, ABS, CPE, CPE+, PC, TPU95A, PP, PVA, Breakaway,Rychl.:neuvedené,Rozhrania: USB, ethernet, wifi,Pamat: neuvedené,Vyhot: komplet,Zaruka: neuvedené"/>
    <n v="3900.8333333333335"/>
    <n v="15"/>
    <n v="58512.5"/>
    <n v="935.83333333333337"/>
    <n v="2184"/>
    <n v="3900.8333333333335"/>
  </r>
  <r>
    <n v="85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6"/>
    <s v="Typ: Ultimaker S5,TlacPriestor: 330x240x300mm,Mat: 2.85 mm PLA, tough PLA, ABS, CPE, CPE+, PC, TPU95A, PP, PVA, Breakaway,Rychl.:neuvedené,Rozhrania: USB, ethernet, wifi,Pamat: neuvedené,Vyhot: komplet,Zaruka: neuvedené"/>
    <n v="6225"/>
    <n v="15"/>
    <n v="93375"/>
    <n v="935.83333333333337"/>
    <n v="2184"/>
    <n v="3900.8333333333335"/>
  </r>
  <r>
    <n v="85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7"/>
    <s v="Typ: ACER AOpen QH10 LED,Technol.: LED,Svetlost: 200lm,Zdroj svetla: LED,Rozlisenie: 1280x720,Kontrast: 1000:1,Rozhrania: HDMI, USB, Miracast, wifi, Jack,Zaruka: neuvedené"/>
    <n v="139.16666666666669"/>
    <n v="30"/>
    <n v="4175.0000000000009"/>
    <n v="709.95"/>
    <n v="1000"/>
    <n v="5171.4583333333339"/>
  </r>
  <r>
    <n v="85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7"/>
    <s v="Typ: Acer H6531BD,Technol.: DLP,Svetlost: 3500lm,Zdroj svetla: žiarovka s neuvedenou životnosťou,Rozlisenie: 1920x1080,Kontrast: 10000:1,Rozhrania: HDMI,USB,Zaruka: neuvedené"/>
    <n v="401.66666666666669"/>
    <n v="30"/>
    <n v="12050"/>
    <n v="709.95"/>
    <n v="1000"/>
    <n v="5171.4583333333339"/>
  </r>
  <r>
    <n v="85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7"/>
    <s v="Typ: Acer H6810BD,Technol.: DLP,Svetlost: 3500lm,Zdroj svetla: žiarovka s neuvedenou životnosťou,Rozlisenie: 3840x2160,Kontrast: 10000:1,Rozhrania: HDMI, USB, Jack,Zaruka: neuvedené"/>
    <n v="960.83333333333337"/>
    <n v="25"/>
    <n v="24020.833333333336"/>
    <n v="709.95"/>
    <n v="1000"/>
    <n v="5171.4583333333339"/>
  </r>
  <r>
    <n v="85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7"/>
    <s v="Typ: Vivitek DU7295Z,Technol.: 3LCD,Svetlost: 9000lm,Zdroj svetla: laser 20000h,Rozlisenie: 1920x1200,Kontrast: 20000:1,Rozhrania: HDMI, USB, Jack,Zaruka: neuvedené"/>
    <n v="9000.8333333333339"/>
    <n v="16"/>
    <n v="144013.33333333334"/>
    <n v="709.95"/>
    <n v="1000"/>
    <n v="5171.4583333333339"/>
  </r>
  <r>
    <n v="86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7"/>
    <s v="Typ: CTOUCH Riva,Rozmer: 86&quot;,Rozlisenie: 3840x2160,Kontrast: 1200:1,Rozhrania: VGA, HDMI, DP, USB, RS232, LAN, wifi, bluetooth,OS: Android,Zaruka: neuvedené"/>
    <n v="7135.8333333333339"/>
    <n v="10"/>
    <n v="71358.333333333343"/>
    <n v="7135.8333333333339"/>
    <n v="7135.8333333333339"/>
    <n v="7135.8333333333339"/>
  </r>
  <r>
    <n v="86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8"/>
    <s v="Typ: Wacom Intuos S Bluetooth,PracPlocha: 152x95mm,Rozlisenie: 2540LPI,Rychl.: 133pps,RozlisStylus: 4096 úrovní,Rozhrania: USB, bluetooth,Displej: bez,Zaruka: neuvedené"/>
    <n v="73.333333333333343"/>
    <n v="70"/>
    <n v="5133.3333333333339"/>
    <n v="128.95833333333334"/>
    <n v="221.25"/>
    <n v="309.375"/>
  </r>
  <r>
    <n v="86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8"/>
    <s v="Typ: Wacom Intuos M Bluetooth,PracPlocha: 216x135mm,Rozlisenie: 2540LPI,Rychl.: 133pps,RozlisStylus: 4096 úrovní,Rozhrania: USB, bluetooth,Displej: bez,Zaruka: neuvedené"/>
    <n v="147.5"/>
    <n v="50"/>
    <n v="7375"/>
    <n v="128.95833333333334"/>
    <n v="221.25"/>
    <n v="309.375"/>
  </r>
  <r>
    <n v="86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8"/>
    <s v="Typ: Wacom Intuos Pro M,PracPlocha: 224x148mm,Rozlisenie: 5080PI,Rychl.: 133pps,RozlisStylus: 8192 úrovní,Rozhrania: USB, bezdrôtové proprietárne,Displej: bez,Zaruka: neuvedené"/>
    <n v="295"/>
    <n v="50"/>
    <n v="14750"/>
    <n v="128.95833333333334"/>
    <n v="221.25"/>
    <n v="309.375"/>
  </r>
  <r>
    <n v="86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8"/>
    <s v="Typ: Wacom One,PracPlocha: 294x166mm,Rozlisenie: 2540PI,Rychl.: 133pps,RozlisStylus: 4096 úrovní,Rozhrania: USB, bezdrôtové proprietárne,Displej: 13.3&quot; 1920x1080 1000:1,Zaruka: neuvedené"/>
    <n v="352.5"/>
    <n v="70"/>
    <n v="24675"/>
    <n v="128.95833333333334"/>
    <n v="221.25"/>
    <n v="309.375"/>
  </r>
  <r>
    <n v="86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9"/>
    <s v="Typ: HTC Vive Pro,Rozsah: 110°,Displej: AMOLED 3.5&quot;,Rozlisenie: 2880x1600,Frekv.: 90Hz,Rozhrania: DP, USB-C, Bluetooth, SteamVR,Zaruka: neuvedené"/>
    <n v="582.5"/>
    <n v="15"/>
    <n v="8737.5"/>
    <n v="595"/>
    <n v="952.5"/>
    <n v="1890.4166666666667"/>
  </r>
  <r>
    <n v="86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9"/>
    <s v="Typ: HTC Vive Cosmos,Rozsah: 110°,Displej: LCD 3.4&quot;,Rozlisenie: 2880x1700,Frekv.: 90Hz,Rozhrania: DP, USB-C, Bluetooth,Zaruka: neuvedené"/>
    <n v="607.5"/>
    <n v="15"/>
    <n v="9112.5"/>
    <n v="595"/>
    <n v="952.5"/>
    <n v="1890.4166666666667"/>
  </r>
  <r>
    <n v="86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9"/>
    <s v="Typ: HTC Vive Cosmos Elite,Rozsah: 110°,Displej: LCD 3.4&quot;,Rozlisenie: 2880x1700,Frekv.: 90Hz,Rozhrania: DP, USB-C, Bluetooth, SteamVR,Gyroskop,Zaruka: neuvedené"/>
    <n v="952.5"/>
    <n v="15"/>
    <n v="14287.5"/>
    <n v="595"/>
    <n v="952.5"/>
    <n v="1890.4166666666667"/>
  </r>
  <r>
    <n v="86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59"/>
    <s v="Typ: HTC Vive Pro Full Kit,Rozsah: 110°,Displej: AMOLED 3.5&quot;,Rozlisenie: 2880x1600,Frekv.: 90Hz,Rozhrania: DP, USB-C, Bluetooth, SteamVR,vrátane ovládača a príslušenstva,Zaruka: neuvedené"/>
    <n v="1140.8333333333335"/>
    <n v="15"/>
    <n v="17112.500000000004"/>
    <n v="595"/>
    <n v="952.5"/>
    <n v="1890.4166666666667"/>
  </r>
  <r>
    <n v="86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6"/>
    <s v="Typ: GoodRAM CL11,Druh: DIMM,Kapacita: 4GB,Generacia: DDR3,Frekv.: 1600MHz,Zaruka: neuvedené"/>
    <n v="14.166666666666668"/>
    <n v="176"/>
    <n v="2493.3333333333335"/>
    <n v="22.082500000000003"/>
    <n v="31.15"/>
    <n v="48.125"/>
  </r>
  <r>
    <n v="87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6"/>
    <s v="Typ: GoodRAM CL11,Druh: DIMM,Kapacita: 8GB,Generacia: DDR3,Frekv.: 1600MHz,Zaruka: neuvedené"/>
    <n v="25.833333333333336"/>
    <n v="330"/>
    <n v="8525"/>
    <n v="22.082500000000003"/>
    <n v="31.15"/>
    <n v="48.125"/>
  </r>
  <r>
    <n v="87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6"/>
    <s v="Typ: Adata Premier CL19,Druh: DIMM,Kapacita: 4GB,Generacia: DDR4,Frekv.: 2666MHz,Zaruka: neuvedené"/>
    <n v="13.333333333333334"/>
    <n v="225"/>
    <n v="3000"/>
    <n v="22.082500000000003"/>
    <n v="31.15"/>
    <n v="48.125"/>
  </r>
  <r>
    <n v="87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6"/>
    <s v="Typ: Transcend CL19,Druh: DIMM,Kapacita: 8GB,Generacia: DDR4,Frekv.: 2666MHz,Zaruka: neuvedené"/>
    <n v="23.333333333333336"/>
    <n v="230"/>
    <n v="5366.666666666667"/>
    <n v="22.082500000000003"/>
    <n v="31.15"/>
    <n v="48.125"/>
  </r>
  <r>
    <n v="87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Toshiba HDD P300,Vyhot.: interný,Kapacita: 1TB,Rozmer: 3,5&quot;,Druh: HDD7200,Rozhranie: SATA 6Gb/s,Cache: 64MB,Zaruka: neuvedené"/>
    <n v="38.333333333333336"/>
    <n v="120"/>
    <n v="4600"/>
    <n v="55.5"/>
    <n v="91.88"/>
    <n v="148.36000000000001"/>
  </r>
  <r>
    <n v="87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Toshiba HDD P300,Vyhot.: interný,Kapacita: 2TB,Rozmer: 3,5&quot;,Druh: HDD7200,Rozhranie: SATA 6Gb/s,Cache: 64MB,Zaruka: neuvedené"/>
    <n v="49.166666666666671"/>
    <n v="210"/>
    <n v="10325.000000000002"/>
    <n v="55.5"/>
    <n v="91.88"/>
    <n v="148.36000000000001"/>
  </r>
  <r>
    <n v="87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Toshiba HDD P300,Vyhot.: interný,Kapacita: 4TB,Rozmer: 3,5&quot;,Druh: HDD5400,Rozhranie: SATA 6Gb/s,Cache: 128MB,Zaruka: neuvedené"/>
    <n v="75"/>
    <n v="190"/>
    <n v="14250"/>
    <n v="55.5"/>
    <n v="91.88"/>
    <n v="148.36000000000001"/>
  </r>
  <r>
    <n v="876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Toshiba HDD P300,Vyhot.: interný,Kapacita: 6TB,Rozmer: 3,5&quot;,Druh: HDD5400,Rozhranie: SATA 6Gb/s,Cache: 128MB,Zaruka: neuvedené"/>
    <n v="112.5"/>
    <n v="193"/>
    <n v="21712.5"/>
    <n v="55.5"/>
    <n v="91.88"/>
    <n v="148.36000000000001"/>
  </r>
  <r>
    <n v="877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Toshiba HDD X300,Vyhot.: interný,Kapacita: 8TB,Rozmer: 3,5&quot;,Druh: HDD7200,Rozhranie: SATA 6Gb/s,Cache: 256MB,Zaruka: neuvedené"/>
    <n v="184.16666666666669"/>
    <n v="105"/>
    <n v="19337.500000000004"/>
    <n v="55.5"/>
    <n v="91.88"/>
    <n v="148.36000000000001"/>
  </r>
  <r>
    <n v="878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Verbatim SSD Vi550 S3,Vyhot.: interný,Kapacita: 128GB,Rozmer: 2.5&quot;,Druh: SSD,Rozhranie: SATA 6Gb/s,Cache: bez,Zaruka: neuvedené"/>
    <n v="19.166666666666668"/>
    <n v="86"/>
    <n v="1648.3333333333335"/>
    <n v="55.5"/>
    <n v="91.88"/>
    <n v="148.36000000000001"/>
  </r>
  <r>
    <n v="879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Samsung 860 EVO,Vyhot.: interný,Kapacita: 250GB,Rozmer: 2.5&quot;,Druh: SSD,Rozhranie: SATA 6Gb/s,Cache: bez,Zaruka: neuvedené"/>
    <n v="35.833333333333336"/>
    <n v="55"/>
    <n v="1970.8333333333335"/>
    <n v="55.5"/>
    <n v="91.88"/>
    <n v="148.36000000000001"/>
  </r>
  <r>
    <n v="880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WD BLUE SSD,Vyhot.: interný,Kapacita: 500GB,Rozmer: 2.5&quot;,Druh: SSD,Rozhranie: SATA 6Gb/s,Cache: bez,Zaruka: neuvedené"/>
    <n v="55.833333333333336"/>
    <n v="75"/>
    <n v="4187.5"/>
    <n v="55.5"/>
    <n v="91.88"/>
    <n v="148.36000000000001"/>
  </r>
  <r>
    <n v="881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WD GREEN SSD,Vyhot.: interný,Kapacita: 240GB,Rozmer: karta,Druh: SSD,Rozhranie: NVMe,Cache: bez,Zaruka: neuvedené"/>
    <n v="28.333333333333336"/>
    <n v="64"/>
    <n v="1813.3333333333335"/>
    <n v="55.5"/>
    <n v="91.88"/>
    <n v="148.36000000000001"/>
  </r>
  <r>
    <n v="882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4"/>
    <s v="Typ: WD GREEN SSD,Vyhot.: interný,Kapacita: 480GB,Rozmer: karta,Druh: SSD,Rozhranie: NVMe,Cache: bez,Zaruka: neuvedené"/>
    <n v="48.333333333333336"/>
    <n v="51"/>
    <n v="2465"/>
    <n v="55.5"/>
    <n v="91.88"/>
    <n v="148.36000000000001"/>
  </r>
  <r>
    <n v="883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5"/>
    <s v="Typ: CRONO CROPS400P/Gen2,Vyhot.: ATX,Vykon: 400W,Zaruka: neuvedené"/>
    <n v="17.5"/>
    <n v="105"/>
    <n v="1837.5"/>
    <n v="35.864999999999995"/>
    <n v="54.65"/>
    <n v="66.5"/>
  </r>
  <r>
    <n v="884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5"/>
    <s v="Typ: CHIEFTEC Value APB-500B8,Vyhot.: ATX,Vykon: 500W,Zaruka: neuvedené"/>
    <n v="25.833333333333336"/>
    <n v="137"/>
    <n v="3539.166666666667"/>
    <n v="35.864999999999995"/>
    <n v="54.65"/>
    <n v="66.5"/>
  </r>
  <r>
    <n v="885"/>
    <s v="Rámcová dohoda Informačno-komunikačných technológií, softvéru, licencií a systémovej podpory pre Technickú univerzitu v Košiciach, časť 1: Informačno-komunikačných technológií pre TUKE"/>
    <n v="5300966"/>
    <s v="https://crz.gov.sk/zmluva/5300966"/>
    <s v="https://www.crz.gov.sk/data/att/2615527.pdf"/>
    <x v="15"/>
    <s v="Typ: 1stCOOL WHITE STORM 700,Vyhot.: ATX,Vykon: 700W,Zaruka: neuvedené"/>
    <n v="36.666666666666671"/>
    <n v="75"/>
    <n v="2750.0000000000005"/>
    <n v="35.864999999999995"/>
    <n v="54.65"/>
    <n v="66.5"/>
  </r>
  <r>
    <n v="886"/>
    <s v="Zmluva na dodávku, inštaláciu, konfiguráciu a migráciu technologického zariadenia Oracle ExaData, licenčného softvérového vybavenia Oracle a na poskytovanie technickej podpory prevádzkovaného technologického prostredia Oracle."/>
    <n v="4382622"/>
    <s v="https://crz.gov.sk/4382622"/>
    <s v="https://www.crz.gov.sk/data/att/4382626_dokument1.pdf"/>
    <x v="60"/>
    <s v="Typ: Oracle ExaData X8M Quarter Rack,Proc.: 3 DB servery každý 2x Intel Xeon Platinum 8260 24-core 48-thread 2.4GHz passmark 52110 + 2 storage servery každý 2x Intel Xeon 5218 16-core 32-thread 2.3 GHz passmark 22117,RAM: 3x 384GB pre DB servery + 2x 192GB pre storage servery,Disk: DB servery HDD 4x 1.2TB SAS 10000 hotswap + storage servery 12x 14TB SAS 7200hotswap + 25.6 TB flash PCIe + 12x 128/GB Intel Optane DC persistent memory,Radic: 2GB RAID,Ethernet: DB servery 2x 10Gbps + 2x 10/25Gbps + 2x InfiniBand 100Gbps + storage servery 1x 1Gbps + 2x 100Gbps RoCE,GPU: Zdiel.,Rack: 42U,Servery: 2xDB+3xStorage+GRID,Priepustnost: 5.4 GB/s na disk+75GB/s flash,Cache: 76.8TB flash,Switch: Cisco Infiniband 2x 36-port,manažment konzola,Zaruka: 2+8hod_oprava"/>
    <n v="466245.2"/>
    <n v="1"/>
    <n v="466245.2"/>
    <n v="393885.2"/>
    <n v="418005.2"/>
    <n v="442125.2"/>
  </r>
  <r>
    <n v="887"/>
    <s v="Zmluva na dodávku, inštaláciu, konfiguráciu a migráciu technologického zariadenia Oracle ExaData, licenčného softvérového vybavenia Oracle a na poskytovanie technickej podpory prevádzkovaného technologického prostredia Oracle."/>
    <n v="4382622"/>
    <s v="https://crz.gov.sk/4382622"/>
    <s v="https://www.crz.gov.sk/data/att/4382626_dokument1.pdf"/>
    <x v="60"/>
    <s v="Typ: Oracle ExaData X8M Eighth Rack,Proc.: 3 DB servery každý 2x Intel Xeon Platinum 8260 24-core 48-thread 2.4GHz passmark 52110 + 2 storage servery každý 2x Intel Xeon 5218 16-core 32-thread 2.3 GHz passmark 22117,RAM: 3x 384GB pre DB servery + 2x 192GB pre storage servery,Disk: DB servery HDD 4x 1.2TB SAS 10000 hotswap + storage servery 6x 14TB SAS 7200hotswap + 12.8 TB flash PCIe + 12x 128/GB Intel Optane DC persistent memory,Radic: 2GB RAID,Ethernet: DB servery 2x 10Gbps + 2x 10/25Gbps + 2x InfiniBand 100Gbps + storage servery 1x 1Gbps + 2x 100Gbps RoCE,GPU: Zdiel.,Rack: 42U,Servery: 2xDB+3xStorage+GRID,Priepustnost: 2.7 GB/s na disk,Cache: 38.4TB flash,Switch: Cisco Infiniband 2x 36-port,manažment konzola,Zaruka: 2+4hod_oprava"/>
    <n v="369765.2"/>
    <n v="1"/>
    <n v="369765.2"/>
    <n v="393885.2"/>
    <n v="418005.2"/>
    <n v="442125.2"/>
  </r>
  <r>
    <n v="888"/>
    <s v="Kúpna zmluva č. SE-VO2-2021/003692-002"/>
    <n v="5980002"/>
    <s v="https://crz.gov.sk/zmluva/5980002"/>
    <s v="https://www.crz.gov.sk/data/att/3025163.pdf"/>
    <x v="0"/>
    <s v="Typ: HP Z6 G4,Proc: 2x passmark 18707,RAM: 32GB,Disk: SSD 2x NVMe 512GB RAID+HDD 10 TB,VGA: nezdiel nVidia 4GB GDDR6,OS: Win10Pro,klávesnica,myš,BlueRay,Zaruka: 3"/>
    <n v="3163"/>
    <n v="3"/>
    <n v="9489"/>
    <n v="680"/>
    <n v="991"/>
    <n v="1485.8333333333335"/>
  </r>
  <r>
    <n v="889"/>
    <s v="Kúpna zmluva č. SE-VO2-2021/003692-002"/>
    <n v="5980002"/>
    <s v="https://crz.gov.sk/zmluva/5980002"/>
    <s v="https://www.crz.gov.sk/data/att/3025163.pdf"/>
    <x v="0"/>
    <s v="Typ: Apple Mac Pro Tower Desktop Computer,Proc: 8-core bližšie nešpec.,RAM: 16GB,Disk: SSD NVMe 512GB,VGA: nezdiel 8GB GDDR6,OS: macOS Catalina,klávesnica,myš,Zaruka: 3"/>
    <n v="6514"/>
    <n v="1"/>
    <n v="6514"/>
    <n v="680"/>
    <n v="991"/>
    <n v="1485.8333333333335"/>
  </r>
  <r>
    <n v="890"/>
    <s v="Kúpna zmluva č. SE-VO2-2021/003692-002"/>
    <n v="5980002"/>
    <s v="https://crz.gov.sk/zmluva/5980002"/>
    <s v="https://www.crz.gov.sk/data/att/3025163.pdf"/>
    <x v="0"/>
    <s v="Typ: HP ProDesk 600 G6,Proc: passmark 9500,RAM: 8GB,Disk: SSD NVMe 512GB,VGA: nezdiel passmark 16463,OS: Win10Pro,klávesnica,myš,DVD,Zaruka: 3"/>
    <n v="1138"/>
    <n v="9"/>
    <n v="10242"/>
    <n v="680"/>
    <n v="991"/>
    <n v="1485.8333333333335"/>
  </r>
  <r>
    <n v="891"/>
    <s v="Kúpna zmluva č. SE-VO2-2021/003692-002"/>
    <n v="5980002"/>
    <s v="https://crz.gov.sk/zmluva/5980002"/>
    <s v="https://www.crz.gov.sk/data/att/3025163.pdf"/>
    <x v="1"/>
    <s v="Typ: HP Zbook Fury 17 G7,Proc.: passmark 17310,RAM: 32GB,Disk: SSD NVMe 512GB,VGA: 8GB passmark 16437.,Disp: FHD,OS: Win10Pro, klávesnica SK/EN,TPM,Zaruka: 3"/>
    <n v="4056"/>
    <n v="3"/>
    <n v="12168"/>
    <n v="783.15"/>
    <n v="1196.3"/>
    <n v="1455.5"/>
  </r>
  <r>
    <n v="892"/>
    <s v="Kúpna zmluva č. SE-VO2-2021/003692-002"/>
    <n v="5980002"/>
    <s v="https://crz.gov.sk/zmluva/5980002"/>
    <s v="https://www.crz.gov.sk/data/att/3025163.pdf"/>
    <x v="1"/>
    <s v="Typ: HP Zbook Fury 17 G7,Proc.: passmark 16088,RAM: 16GB,Disk: SSD NVMe 512GB,VGA: passmark 6548.,Disp: FHD,OS: Win10Pro, klávesnica SK/EN,TPM,Zaruka: 3"/>
    <n v="2151.4"/>
    <n v="41"/>
    <n v="88207.400000000009"/>
    <n v="783.15"/>
    <n v="1196.3"/>
    <n v="1455.5"/>
  </r>
  <r>
    <n v="893"/>
    <s v="Kúpna zmluva č. SE-VO2-2021/003692-002"/>
    <n v="5980002"/>
    <s v="https://crz.gov.sk/zmluva/5980002"/>
    <s v="https://www.crz.gov.sk/data/att/3025163.pdf"/>
    <x v="1"/>
    <s v="Typ: Apple MacBook Pro 16,Proc.: 6-core bližšie nešpec.,RAM: 16GB,Disk: SSD NVMe 512GB,VGA: 4GB GDDR6.,Disp: FHD,OS: macOS Catalina, klávesnica SK/EN,TPM,Zaruka: 3"/>
    <n v="3011"/>
    <n v="3"/>
    <n v="9033"/>
    <n v="783.15"/>
    <n v="1196.3"/>
    <n v="1455.5"/>
  </r>
  <r>
    <n v="894"/>
    <s v="Kúpna zmluva č. SE-VO2-2021/003692-002"/>
    <n v="5980002"/>
    <s v="https://crz.gov.sk/zmluva/5980002"/>
    <s v="https://www.crz.gov.sk/data/att/3025163.pdf"/>
    <x v="2"/>
    <s v="Typ: HP P27h G4,Rozlisenie: 1920x1080,Frekv: 60 Hz,Velkost: 27&quot;,Kontrast: 1000:1,Vstupy: VGA, DP, HDMI,matný,Zaruka: 3"/>
    <n v="166"/>
    <n v="66"/>
    <n v="10956"/>
    <n v="141.67500000000001"/>
    <n v="194"/>
    <n v="266.75"/>
  </r>
  <r>
    <n v="895"/>
    <s v="Kúpna zmluva č. SE-VO2-2021/003692-002"/>
    <n v="5980002"/>
    <s v="https://crz.gov.sk/zmluva/5980002"/>
    <s v="https://www.crz.gov.sk/data/att/3025163.pdf"/>
    <x v="2"/>
    <s v="Typ: Iiyama ProLite TE8604MIS-B1AG,Rozlisenie: 3840x2160,Frekv: 60 Hz,Velkost: 84&quot;,Kontrast: neuvedené,Vstupy: VGA, HDMI, USB, LAN,matný,Zaruka: 3"/>
    <n v="3223"/>
    <n v="1"/>
    <n v="3223"/>
    <n v="141.67500000000001"/>
    <n v="194"/>
    <n v="266.75"/>
  </r>
  <r>
    <n v="896"/>
    <s v="Kúpna zmluva č. SE-VO2-2021/003692-002"/>
    <n v="5980002"/>
    <s v="https://crz.gov.sk/zmluva/5980002"/>
    <s v="https://www.crz.gov.sk/data/att/3025163.pdf"/>
    <x v="4"/>
    <s v="Typ: Xerox VersaLink C505V/S,Technologia: laser,Farba: áno,Formaty: A4,Rozhrania: USB, ethernet,RAM: 4GB,Pam. karta: bez,Zasobnik: 500,R. tlace: 1200dpi,R. kopirky: 600dpi,R. skenera: 600dpi,Duplex: áno,Zaruka: 3"/>
    <n v="1267"/>
    <n v="2"/>
    <n v="2534"/>
    <n v="393.94499999999999"/>
    <n v="710.01499999999999"/>
    <n v="2552.0574999999999"/>
  </r>
  <r>
    <n v="897"/>
    <s v="Kúpna zmluva č. SE-VO2-2021/003692-002"/>
    <n v="5980002"/>
    <s v="https://crz.gov.sk/zmluva/5980002"/>
    <s v="https://www.crz.gov.sk/data/att/3025163.pdf"/>
    <x v="4"/>
    <s v="Typ: Xerox VersaLink B7035,Technologia: laser,Farba: áno,Formaty: A3,Rozhrania: USB, ethernet,RAM: 2GB,Pam. karta: bez,Zasobnik: 500,R. tlace: 1200dpi,R. kopirky: 600dpi,R. skenera: 600dpi,Duplex: áno,fax,Zaruka: 3"/>
    <n v="1045"/>
    <n v="1"/>
    <n v="1045"/>
    <n v="393.94499999999999"/>
    <n v="710.01499999999999"/>
    <n v="2552.0574999999999"/>
  </r>
  <r>
    <n v="898"/>
    <s v="Kúpna zmluva č. SE-VO2-2021/003692-002"/>
    <n v="5980002"/>
    <s v="https://crz.gov.sk/zmluva/5980002"/>
    <s v="https://www.crz.gov.sk/data/att/3025163.pdf"/>
    <x v="56"/>
    <s v="Typ: Zortrax M200 Plus,TlacPriestor: 200x200x180mm,Mat: 1.75mm bližšie neurčené,Rychl.: neuvedené,Rozhrania: USB, ethernet, wifi,Pamat: neuvedené,Vyhot: komplet,Zaruka: 3"/>
    <n v="2184"/>
    <n v="1"/>
    <n v="2184"/>
    <n v="935.83333333333337"/>
    <n v="2184"/>
    <n v="3900.8333333333335"/>
  </r>
  <r>
    <n v="899"/>
    <s v="Kúpna zmluva č. SE-VO2-2021/003692-002"/>
    <n v="5980002"/>
    <s v="https://crz.gov.sk/zmluva/5980002"/>
    <s v="https://www.crz.gov.sk/data/att/3025163.pdf"/>
    <x v="6"/>
    <s v="Typ: EPSON Perfection V19, Format: A4, Rozlisenie: 4800dpi, Zasobnik: nie,Zaruka: 2"/>
    <n v="66"/>
    <n v="9"/>
    <n v="594"/>
    <n v="112.19999999999999"/>
    <n v="252"/>
    <n v="2310"/>
  </r>
  <r>
    <n v="900"/>
    <s v="Kúpna zmluva č. SE-VO2-2021/003692-002"/>
    <n v="5980002"/>
    <s v="https://crz.gov.sk/zmluva/5980002"/>
    <s v="https://www.crz.gov.sk/data/att/3025163.pdf"/>
    <x v="11"/>
    <s v="Typ: Legrand UPS KEOR LINE RT 310046,Spinanie: Line-ineractive,Vykon: 1500VA,Vyhot.: tower/rackmount,Zaruka: 2"/>
    <n v="445"/>
    <n v="15"/>
    <n v="6675"/>
    <n v="59.227499999999999"/>
    <n v="332.14"/>
    <n v="1331.8050000000001"/>
  </r>
  <r>
    <n v="901"/>
    <s v="Kúpna zmluva č. SE-VO2-2021/003692-002"/>
    <n v="5980002"/>
    <s v="https://crz.gov.sk/zmluva/5980002"/>
    <s v="https://www.crz.gov.sk/data/att/3025163.pdf"/>
    <x v="14"/>
    <s v="Typ: HP,Vyhot.: interný,Kapacita: 1TB,Rozmer: 2.5&quot;,Druh: HDD7200,Rozhranie: SAS,Cache: neuvedené,Zaruka: 2"/>
    <n v="357"/>
    <n v="8"/>
    <n v="2856"/>
    <n v="55.5"/>
    <n v="91.88"/>
    <n v="148.36000000000001"/>
  </r>
  <r>
    <n v="902"/>
    <s v="Kúpna zmluva č. SE-VO2-2021/003692-002"/>
    <n v="5980002"/>
    <s v="https://crz.gov.sk/zmluva/5980002"/>
    <s v="https://www.crz.gov.sk/data/att/3025163.pdf"/>
    <x v="9"/>
    <s v="Typ: QNAP TS-230,Technol.: SATA,Radic: RAID1+JBOD,Cache: 2GB,Disky: 2x 8TB,Porty: 1x 1Gbps, USB,Vyhotovenie: neuvedené,Zaruka: 2"/>
    <n v="370"/>
    <n v="23"/>
    <n v="8510"/>
    <n v="2032"/>
    <n v="19360"/>
    <n v="87628.37"/>
  </r>
  <r>
    <n v="903"/>
    <s v="Kúpna zmluva č. SE-VO2-2021/003692-002"/>
    <n v="5980002"/>
    <s v="https://crz.gov.sk/zmluva/5980002"/>
    <s v="https://www.crz.gov.sk/data/att/3025163.pdf"/>
    <x v="30"/>
    <s v="Typ: Verbatim SlimLine,Vyhot.: externá,Media: BlueRay, CD, CD-R, CD-RW, DVD, DVD-RW, DVD-R+, DVD-R-,Rychlost: 8x DVD+6x BR,Rozhranie: USB-C,Zaruka: 2"/>
    <n v="32"/>
    <n v="1"/>
    <n v="32"/>
    <n v="14.8"/>
    <n v="19.5"/>
    <n v="31.25"/>
  </r>
  <r>
    <n v="904"/>
    <s v="Kúpna zmluva č. SE-VO2-2021/003692-002"/>
    <n v="5980002"/>
    <s v="https://crz.gov.sk/zmluva/5980002"/>
    <s v="https://www.crz.gov.sk/data/att/3025163.pdf"/>
    <x v="38"/>
    <s v="Typ: C-TECH WM-07,Technol.: optická drôtová,Rozlisenie: 1200DPI,Rozhranie: USB,Zaruka: 2"/>
    <n v="2"/>
    <n v="41"/>
    <n v="82"/>
    <n v="4.25"/>
    <n v="6.12"/>
    <n v="13.55"/>
  </r>
  <r>
    <n v="905"/>
    <s v="Kúpna zmluva č. SE-VO2-2021/003692-002"/>
    <n v="5980002"/>
    <s v="https://crz.gov.sk/zmluva/5980002"/>
    <s v="https://www.crz.gov.sk/data/att/3025163.pdf"/>
    <x v="39"/>
    <s v="Typ: Natec Trout,Pripoj.: drôtová,Rozlozenie: SK,Rozhranie: USB,Zaruka: 2"/>
    <n v="4"/>
    <n v="41"/>
    <n v="164"/>
    <n v="5.1899999999999995"/>
    <n v="8.5"/>
    <n v="21.95"/>
  </r>
  <r>
    <n v="906"/>
    <s v="Kúpna zmluva č. SE-VO2-2021/003692-002"/>
    <n v="5980002"/>
    <s v="https://crz.gov.sk/zmluva/5980002"/>
    <s v="https://www.crz.gov.sk/data/att/3025163.pdf"/>
    <x v="61"/>
    <s v="Typ: Raspberry Pi 4 Model B,Proc: 4-core ARM,RAM: 8GB,Disk: SD karta 32GB class10,VGA: zdiel.,OS: bez,Zaruka: 2"/>
    <n v="111"/>
    <n v="10"/>
    <n v="1110"/>
    <n v="111"/>
    <n v="111"/>
    <n v="111"/>
  </r>
  <r>
    <n v="907"/>
    <s v="Kúpna zmluva č. SE-VO2-2021/003692-002"/>
    <n v="5980002"/>
    <s v="https://crz.gov.sk/zmluva/5980002"/>
    <s v="https://www.crz.gov.sk/data/att/3025163.pdf"/>
    <x v="62"/>
    <s v="Typ: SanDisk Extreme Pro SDHC,Kapacita: 32GB,Rychlost: UHS-I/U3,Zaruka: 2"/>
    <n v="10"/>
    <n v="6"/>
    <n v="60"/>
    <n v="10.059999999999999"/>
    <n v="22.94"/>
    <n v="48.75"/>
  </r>
  <r>
    <n v="908"/>
    <s v="Kúpna zmluva č. SE-VO2-2021/003692-002"/>
    <n v="5980002"/>
    <s v="https://crz.gov.sk/zmluva/5980002"/>
    <s v="https://www.crz.gov.sk/data/att/3025163.pdf"/>
    <x v="33"/>
    <s v="Typ: Axagon HUE-S2BP,Porty: 4x USB 3.0,Napajanie:externé,Vypinanie: nie,Zaruka: 2"/>
    <n v="15"/>
    <n v="20"/>
    <n v="300"/>
    <n v="7.9050000000000002"/>
    <n v="13"/>
    <n v="16.75"/>
  </r>
  <r>
    <n v="909"/>
    <s v="Kúpna zmluva č. SE-VO2-2021/003692-002"/>
    <n v="5980002"/>
    <s v="https://crz.gov.sk/zmluva/5980002"/>
    <s v="https://www.crz.gov.sk/data/att/3025163.pdf"/>
    <x v="32"/>
    <s v="Typ: Verbatim Store'n go slider,Kapacita: 128GB,Rozhranie: USB 2.0,Zaruka: 2"/>
    <n v="8"/>
    <n v="11"/>
    <n v="88"/>
    <n v="4.9000000000000004"/>
    <n v="8.4"/>
    <n v="14"/>
  </r>
  <r>
    <n v="910"/>
    <s v="Kúpna zmluva č. SE-VO2-2021/003692-002"/>
    <n v="5980002"/>
    <s v="https://crz.gov.sk/zmluva/5980002"/>
    <s v="https://www.crz.gov.sk/data/att/3025163.pdf"/>
    <x v="9"/>
    <s v="Typ: Synology DiskStation DS1520+,Technol.: SATA,Radic: RAID1/5/JBOD,Cache: 8GB RAM,Disky: 5x 10TB SATA 7200,Porty: 5 SATA,Vyhotovenie: na stôl,4x1Gb LAN,vzdialený prístup, Zaruka: 2 roky"/>
    <n v="2032"/>
    <n v="9"/>
    <n v="18288"/>
    <n v="2032"/>
    <n v="19360"/>
    <n v="87628.37"/>
  </r>
  <r>
    <n v="911"/>
    <s v="Kúpna zmluva č. SE-VO2-2021/003692-002"/>
    <n v="5980002"/>
    <s v="https://crz.gov.sk/zmluva/5980002"/>
    <s v="https://www.crz.gov.sk/data/att/3025163.pdf"/>
    <x v="37"/>
    <s v="Typ: Akasa AK-CR-06BK,Podp. karty: CF, MS, SD, MicroSD,Rozhranie: USB 3.0,Zaruka: 2"/>
    <n v="21"/>
    <n v="1"/>
    <n v="21"/>
    <n v="4.8"/>
    <n v="6.58"/>
    <n v="6.9"/>
  </r>
  <r>
    <n v="943"/>
    <s v="Kúpna zmluva č.30/2019/FN"/>
    <n v="4117630"/>
    <s v="https://crz.gov.sk/4117630"/>
    <s v="https://www.crz.gov.sk/data/att/4117637_dokument1.pdf, https://www.crz.gov.sk/data/att/4117637_dokument.pdf, https://www.crz.gov.sk/data/att/4117646_dokument1.pdf"/>
    <x v="10"/>
    <s v="Typ: 36U G2 Kitted Advanced Shock Rack with Side Panels and Baying , Vyska: 36U, Zaruka: neuvedené"/>
    <n v="2007.28"/>
    <n v="1"/>
    <n v="2007.28"/>
    <n v="98.7"/>
    <n v="172.56"/>
    <n v="2312.5"/>
  </r>
  <r>
    <n v="944"/>
    <s v="Kúpna zmluva č.30/2019/FN"/>
    <n v="4117630"/>
    <s v="https://crz.gov.sk/4117630"/>
    <s v="https://www.crz.gov.sk/data/att/4117637_dokument1.pdf, https://www.crz.gov.sk/data/att/4117637_dokument.pdf, https://www.crz.gov.sk/data/att/4117646_dokument1.pdf"/>
    <x v="53"/>
    <s v="Typ: Zabezpečenie konektivity - 4x DMZ, 2xWAN, 4 x OPT, Switch: 48x 1Gbps RJ 45 port, 4x SFP 100/1000 Mbps"/>
    <n v="8701.66"/>
    <n v="2"/>
    <n v="17403.32"/>
    <n v="37430.41333333333"/>
    <n v="66159.166666666672"/>
    <n v="71916.25"/>
  </r>
  <r>
    <n v="945"/>
    <s v="Kúpna zmluva č.30/2019/FN"/>
    <n v="4117630"/>
    <s v="https://crz.gov.sk/4117630"/>
    <s v="https://www.crz.gov.sk/data/att/4117637_dokument1.pdf, https://www.crz.gov.sk/data/att/4117637_dokument.pdf, https://www.crz.gov.sk/data/att/4117646_dokument1.pdf"/>
    <x v="11"/>
    <s v="Typ: EATON UPS 1/1fáza, 3000VA,Vykon: 2700W, Zaruka: 3 "/>
    <n v="1386.96"/>
    <n v="2"/>
    <n v="2773.92"/>
    <n v="59.227499999999999"/>
    <n v="332.14"/>
    <n v="1331.8050000000001"/>
  </r>
  <r>
    <n v="946"/>
    <s v="Kúpna zmluva č.30/2019/FN"/>
    <n v="4117630"/>
    <s v="https://crz.gov.sk/4117630"/>
    <s v="https://www.crz.gov.sk/data/att/4117637_dokument1.pdf, https://www.crz.gov.sk/data/att/4117637_dokument.pdf, https://www.crz.gov.sk/data/att/4117646_dokument1.pdf"/>
    <x v="34"/>
    <s v="Typ: Patch panel Cat. 6e, 24x RJ 45,Vyska: 1U, Zaruka: neuvedené"/>
    <n v="43.48"/>
    <n v="2"/>
    <n v="86.96"/>
    <n v="40.5"/>
    <n v="43.39"/>
    <n v="69.25"/>
  </r>
  <r>
    <n v="947"/>
    <s v="Kúpna zmluva č.30/2019/FN"/>
    <n v="4117630"/>
    <s v="https://crz.gov.sk/4117630"/>
    <s v="https://www.crz.gov.sk/data/att/4117637_dokument1.pdf, https://www.crz.gov.sk/data/att/4117637_dokument.pdf, https://www.crz.gov.sk/data/att/4117646_dokument1.pdf"/>
    <x v="8"/>
    <s v="Typ: DL380 Gen10 8SFF CTO Server,Proc.: 2x Intel Xeon-Gold 6134 (3.2GHz/8-core/130W),RAM: 4 x 32 GBRAM,Disk:  2x HPE 240GB SATA SSD disk, 7 x HPE 1.2TB SAS 12G Enterprise 10K SFF, Zaruka: neuvedené"/>
    <n v="12877.72"/>
    <n v="2"/>
    <n v="25755.439999999999"/>
    <n v="7209.15"/>
    <n v="15534.78"/>
    <n v="29950.799999999999"/>
  </r>
  <r>
    <n v="948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9"/>
    <s v="Typ: IBM FlashSystem 5200, Veľkosť:3U, Napájanie:jednofázové redundantné do 250V, Zaruka:neuvedené"/>
    <n v="58595"/>
    <n v="2"/>
    <n v="117190"/>
    <n v="2032"/>
    <n v="19360"/>
    <n v="87628.37"/>
  </r>
  <r>
    <n v="949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9"/>
    <s v="Typ: IMB FlashSystem 5035, Veľkosť:4U, Napájanie: jednofázové redundantné do 250V, Zaruka:neuvedené"/>
    <n v="16275"/>
    <n v="2"/>
    <n v="32550"/>
    <n v="2032"/>
    <n v="19360"/>
    <n v="87628.37"/>
  </r>
  <r>
    <n v="950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9"/>
    <s v="Typ: IBM Spectrum Protect Suite Front End, Kapacita:20 TB, Funkcionalota: Vytváranie úplných, inkrementálnych záloh súborových systémov a databáz, Zaruka:neuvedené"/>
    <n v="42530"/>
    <n v="1"/>
    <n v="42530"/>
    <n v="2032"/>
    <n v="19360"/>
    <n v="87628.37"/>
  </r>
  <r>
    <n v="951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14"/>
    <s v="Typ: 4662-AGT4,Vyhot.: interný,Kapacita: 7.68TB,Rozmer: karta,Druh: Flash disk,Rozhranie: NVMe,Cache: neuvedené,Zaruka:neuvedené"/>
    <n v="1980"/>
    <n v="9"/>
    <n v="17820"/>
    <n v="55.5"/>
    <n v="91.88"/>
    <n v="148.36000000000001"/>
  </r>
  <r>
    <n v="952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14"/>
    <s v="Typ: 4662-AL6B,Kapacita: 2,4TB,Zaruka:neuvedené"/>
    <n v="320"/>
    <n v="24"/>
    <n v="7680"/>
    <n v="55.5"/>
    <n v="91.88"/>
    <n v="148.36000000000001"/>
  </r>
  <r>
    <n v="953"/>
    <s v="Rámcová zmluva o dodávke výpočtovej techniky, softvérových licencií a súvisiacich službách"/>
    <n v="5836528"/>
    <s v="https://crz.gov.sk/zmluva/5836528"/>
    <s v="https://www.crz.gov.sk/data/att/2937736.pdf, https://www.crz.gov.sk/data/att/2937741.pdf"/>
    <x v="14"/>
    <s v="Typ: 4662-AL3A, Kapacita:6TB,Počer:20ks NLSAS diskov,Zaruka:neuvedené"/>
    <n v="270"/>
    <n v="20"/>
    <n v="5400"/>
    <n v="55.5"/>
    <n v="91.88"/>
    <n v="148.36000000000001"/>
  </r>
  <r>
    <n v="958"/>
    <s v="zmluva o dielo"/>
    <n v="3837591"/>
    <s v="https://crz.gov.sk/3837591"/>
    <s v="https://www.crz.gov.sk/data/att/3837592_dokument1.pdf"/>
    <x v="10"/>
    <s v="Typ: AR3340, Vyska:42U,Zaruka:2"/>
    <n v="2325"/>
    <n v="4"/>
    <n v="9300"/>
    <n v="98.7"/>
    <n v="172.56"/>
    <n v="2312.5"/>
  </r>
  <r>
    <n v="959"/>
    <s v="zmluva o dielo"/>
    <n v="3837591"/>
    <s v="https://crz.gov.sk/3837591"/>
    <s v="https://www.crz.gov.sk/data/att/3837592_dokument1.pdf"/>
    <x v="10"/>
    <s v="Typ: AR3300, Vyska:42U,Zaruka:2"/>
    <n v="1675"/>
    <n v="7"/>
    <n v="11725"/>
    <n v="98.7"/>
    <n v="172.56"/>
    <n v="2312.5"/>
  </r>
  <r>
    <n v="963"/>
    <s v="zmluva o dielo"/>
    <n v="3837591"/>
    <s v="https://crz.gov.sk/3837591"/>
    <s v="https://www.crz.gov.sk/data/att/3837592_dokument1.pdf"/>
    <x v="5"/>
    <s v="Typ: Vertical Fiber Organizer,Zaruka:2"/>
    <n v="129"/>
    <n v="4"/>
    <n v="516"/>
    <n v="17.549999999999997"/>
    <n v="275.8"/>
    <n v="11191.057499999999"/>
  </r>
  <r>
    <n v="964"/>
    <s v="zmluva o dielo"/>
    <n v="3837591"/>
    <s v="https://crz.gov.sk/3837591"/>
    <s v="https://www.crz.gov.sk/data/att/3837592_dokument1.pdf"/>
    <x v="5"/>
    <s v="Typ: Vertical Fiber Organizer NetShelter SX, Vyska:42U,Zaruka:2"/>
    <n v="99"/>
    <n v="10"/>
    <n v="990"/>
    <n v="17.549999999999997"/>
    <n v="275.8"/>
    <n v="11191.057499999999"/>
  </r>
  <r>
    <n v="965"/>
    <s v="Rámcová dohoda - Výkon servisnej činnosti a opráv technologickej časti tunela Bôrik, pojazdu Lučivná a ISD D1 Važec - Mengusovce - Jánovce, I., II. a III. úsek pre stredisko Mengusovce"/>
    <n v="3917692"/>
    <s v="https://crz.gov.sk/3917692"/>
    <s v="https://www.crz.gov.sk/data/att/3917693_dokument1.pdf"/>
    <x v="20"/>
    <s v="Typ: Intel Core 2 Duo and 2 Quad Proc.,Zaruka:2"/>
    <n v="3494"/>
    <n v="1"/>
    <n v="3494"/>
    <n v="69.75"/>
    <n v="86"/>
    <n v="144"/>
  </r>
  <r>
    <n v="966"/>
    <s v="Rámcová dohoda - Výkon servisnej činnosti a opráv technologickej časti tunela Bôrik, pojazdu Lučivná a ISD D1 Važec - Mengusovce - Jánovce, I., II. a III. úsek pre stredisko Mengusovce"/>
    <n v="3917692"/>
    <s v="https://crz.gov.sk/3917692"/>
    <s v="https://www.crz.gov.sk/data/att/3917693_dokument1.pdf"/>
    <x v="14"/>
    <s v="Typ: HP 146GB 15k hot swap,Zaruka:2"/>
    <n v="349.44"/>
    <n v="1"/>
    <n v="349.44"/>
    <n v="55.5"/>
    <n v="91.88"/>
    <n v="148.36000000000001"/>
  </r>
  <r>
    <n v="967"/>
    <s v="Rámcová dohoda - Výkon servisnej činnosti a opráv technologickej časti tunela Bôrik, pojazdu Lučivná a ISD D1 Važec - Mengusovce - Jánovce, I., II. a III. úsek pre stredisko Mengusovce"/>
    <n v="3917692"/>
    <s v="https://crz.gov.sk/3917692"/>
    <s v="https://www.crz.gov.sk/data/att/3917693_dokument1.pdf"/>
    <x v="14"/>
    <s v="Typ:HDD 500GB,Zaruka:2"/>
    <n v="233.42"/>
    <n v="4"/>
    <n v="933.68"/>
    <n v="55.5"/>
    <n v="91.88"/>
    <n v="148.36000000000001"/>
  </r>
  <r>
    <n v="970"/>
    <s v="Kúpna zmluva č. OVO2-2018/000019-030"/>
    <n v="3888033"/>
    <s v="https://crz.gov.sk/3888033"/>
    <s v="https://crz.gov.sk/data/att/3888035_dokument1.pdf"/>
    <x v="0"/>
    <s v="Typ:Tower(veža) Proc.:14-jadro passmark 19867, RAM:64 GB,Disk: SSD 2x 512GB + SSD 1TB + HDD 5x 4TB 7200rpm, VGA: Zdiel,Zdroj: 1100W, Zaruka:3"/>
    <n v="12736"/>
    <n v="12"/>
    <n v="152832"/>
    <n v="680"/>
    <n v="991"/>
    <n v="1485.8333333333335"/>
  </r>
  <r>
    <n v="971"/>
    <s v="Kúpna zmluva č. OVO2-2018/000019-030"/>
    <n v="3888033"/>
    <s v="https://crz.gov.sk/3888033"/>
    <s v="https://crz.gov.sk/data/att/3888035_dokument1.pdf"/>
    <x v="2"/>
    <s v="Typ: Velkost: 23,8&quot;, Rozlisenie: 1920x1080 16:9, Frekv.: 60Hz, Odozva: 5ms, Zaruka:3"/>
    <n v="172"/>
    <n v="24"/>
    <n v="4128"/>
    <n v="141.67500000000001"/>
    <n v="194"/>
    <n v="266.75"/>
  </r>
  <r>
    <n v="972"/>
    <s v="Kúpna zmluva č. OVO2-2018/000019-030"/>
    <n v="3888033"/>
    <s v="https://crz.gov.sk/3888033"/>
    <s v="https://crz.gov.sk/data/att/3888035_dokument1.pdf"/>
    <x v="1"/>
    <s v="Typ: neuvedené, Proc.: 4-jadro passmark 9405, RAM: 32GB, Disk: SSD 512GB, Disp: FHD,Kapacita batérie:90 Wh, Zaruka:3"/>
    <n v="2442.1999999999998"/>
    <n v="8"/>
    <n v="19537.599999999999"/>
    <n v="783.15"/>
    <n v="1196.3"/>
    <n v="1455.5"/>
  </r>
  <r>
    <n v="973"/>
    <s v="Kúpna zmluva č. OVO2-2018/000019-030"/>
    <n v="3888033"/>
    <s v="https://crz.gov.sk/3888033"/>
    <s v="https://crz.gov.sk/data/att/3888035_dokument1.pdf"/>
    <x v="14"/>
    <s v="Typ: externý, Formát:2,5&quot;, Kapacita:4000 GB, Rozhranie: USB 3,3.1, Zaruka:2"/>
    <n v="120.1"/>
    <n v="6"/>
    <n v="720.59999999999991"/>
    <n v="55.5"/>
    <n v="91.88"/>
    <n v="148.36000000000001"/>
  </r>
  <r>
    <n v="974"/>
    <s v="Kúpna zmluva č. OVO2-2018/000019-030"/>
    <n v="3888033"/>
    <s v="https://crz.gov.sk/3888033"/>
    <s v="https://crz.gov.sk/data/att/3888035_dokument1.pdf"/>
    <x v="14"/>
    <s v="Typ: externý, Formát: 3,5&quot;, Kapacita:8000 GB, Rozhranie: USB 3,3.1, Zaruka:2"/>
    <n v="198.2"/>
    <n v="9"/>
    <n v="1783.8"/>
    <n v="55.5"/>
    <n v="91.88"/>
    <n v="148.36000000000001"/>
  </r>
  <r>
    <n v="975"/>
    <s v="Kúpna zmluva č. OVO2-2018/000019-030"/>
    <n v="3888033"/>
    <s v="https://crz.gov.sk/3888033"/>
    <s v="https://crz.gov.sk/data/att/3888035_dokument1.pdf"/>
    <x v="14"/>
    <s v="Typ: interný, Formát: 2,5&quot;, Kapacita: 300 GB, Rýchlosť otáčania: 10k rpm, Zaruka:2"/>
    <n v="264"/>
    <n v="8"/>
    <n v="2112"/>
    <n v="55.5"/>
    <n v="91.88"/>
    <n v="148.36000000000001"/>
  </r>
  <r>
    <n v="976"/>
    <s v="Kúpna zmluva č. OVO2-2018/000019-030"/>
    <n v="3888033"/>
    <s v="https://crz.gov.sk/3888033"/>
    <s v="https://crz.gov.sk/data/att/3888035_dokument1.pdf"/>
    <x v="14"/>
    <s v="Typ: interný, Formát: 3,5&quot;, Kapacita: 750 GB, Rýchlosť otáčania: 7 200 rpm, Zaruka:2"/>
    <n v="757.7"/>
    <n v="6"/>
    <n v="4546.2000000000007"/>
    <n v="55.5"/>
    <n v="91.88"/>
    <n v="148.36000000000001"/>
  </r>
  <r>
    <n v="977"/>
    <s v="Kúpna zmluva č. OVO2-2018/000019-030"/>
    <n v="3888033"/>
    <s v="https://crz.gov.sk/3888033"/>
    <s v="https://crz.gov.sk/data/att/3888035_dokument1.pdf"/>
    <x v="14"/>
    <s v="Typ: interný, Formát: 2,5&quot;, Kapacita: 300 GB, Rýchlosť otáčania: 10k rpm, Zaruka:2"/>
    <n v="198"/>
    <n v="20"/>
    <n v="3960"/>
    <n v="55.5"/>
    <n v="91.88"/>
    <n v="148.36000000000001"/>
  </r>
  <r>
    <n v="978"/>
    <s v="Kúpna zmluva č. OVO2-2018/000019-030"/>
    <n v="3888033"/>
    <s v="https://crz.gov.sk/3888033"/>
    <s v="https://crz.gov.sk/data/att/3888035_dokument1.pdf"/>
    <x v="14"/>
    <s v="Typ: interný, Formát: 2,5&quot;, Kapacita: 2 TB, Rýchlosť otáčania: 5400 rpm, Zaruka:2"/>
    <n v="83.9"/>
    <n v="3"/>
    <n v="251.70000000000002"/>
    <n v="55.5"/>
    <n v="91.88"/>
    <n v="148.36000000000001"/>
  </r>
  <r>
    <n v="979"/>
    <s v="Kúpna zmluva č. OVO2-2018/000019-030"/>
    <n v="3888033"/>
    <s v="https://crz.gov.sk/3888033"/>
    <s v="https://crz.gov.sk/data/att/3888035_dokument1.pdf"/>
    <x v="32"/>
    <s v="Typ: Rozhranie: 3.0, Rýchlosť čítania: 130 MB/s, Kapacita: 128 GB, Zaruka:2"/>
    <n v="18.3"/>
    <n v="12"/>
    <n v="219.60000000000002"/>
    <n v="4.9000000000000004"/>
    <n v="8.4"/>
    <n v="14"/>
  </r>
  <r>
    <n v="980"/>
    <s v="Kúpna zmluva č. OVO2-2018/000019-030"/>
    <n v="3888033"/>
    <s v="https://crz.gov.sk/3888033"/>
    <s v="https://crz.gov.sk/data/att/3888035_dokument1.pdf"/>
    <x v="32"/>
    <s v="Typ: Rozhranie: 3.0, Rýchlosť čítania: 350 MB/s,Rýchlosť zápisu: 250 MB/s, Kapacita: 256 GB, Zaruka:2"/>
    <n v="98.85"/>
    <n v="4"/>
    <n v="395.4"/>
    <n v="4.9000000000000004"/>
    <n v="8.4"/>
    <n v="14"/>
  </r>
  <r>
    <n v="981"/>
    <s v="Kúpna zmluva č. OVO2-2018/000019-030"/>
    <n v="3888033"/>
    <s v="https://crz.gov.sk/3888033"/>
    <s v="https://crz.gov.sk/data/att/3888035_dokument1.pdf"/>
    <x v="62"/>
    <s v="Typ: Prevedenie: Micro SDHC, Kapacita:8 GB, Rýchlosť čítania: 4 MB/s, Rýchlosť zápisu: 4MB/s, Zaruka:2"/>
    <n v="3.4"/>
    <n v="2"/>
    <n v="6.8"/>
    <n v="10.059999999999999"/>
    <n v="22.94"/>
    <n v="48.75"/>
  </r>
  <r>
    <n v="982"/>
    <s v="Kúpna zmluva č. OVO2-2018/000019-030"/>
    <n v="3888033"/>
    <s v="https://crz.gov.sk/3888033"/>
    <s v="https://crz.gov.sk/data/att/3888035_dokument1.pdf"/>
    <x v="62"/>
    <s v="Typ: Prevedenie: Compact Flash, Kapacita:32 GB, Rýchlosť čítania: 160 MB/s, Rýchlosť zápisu: 150 MB/s, Zaruka:2"/>
    <n v="55.2"/>
    <n v="3"/>
    <n v="165.60000000000002"/>
    <n v="10.059999999999999"/>
    <n v="22.94"/>
    <n v="48.75"/>
  </r>
  <r>
    <n v="983"/>
    <s v="Kúpna zmluva č. OVO2-2018/000019-030"/>
    <n v="3888033"/>
    <s v="https://crz.gov.sk/3888033"/>
    <s v="https://crz.gov.sk/data/att/3888035_dokument1.pdf"/>
    <x v="62"/>
    <s v="Typ: Prevedenie: Micro SCXC, Kapacita:256 GB, Rýchlosť čítania: 100 MB/s, Zaruka:2"/>
    <n v="57.7"/>
    <n v="5"/>
    <n v="288.5"/>
    <n v="10.059999999999999"/>
    <n v="22.94"/>
    <n v="48.75"/>
  </r>
  <r>
    <n v="984"/>
    <s v="Kúpna zmluva č. OVO2-2018/000019-030"/>
    <n v="3888033"/>
    <s v="https://crz.gov.sk/3888033"/>
    <s v="https://crz.gov.sk/data/att/3888035_dokument1.pdf"/>
    <x v="62"/>
    <s v="Typ: Prevedenie: SDCX, Kapacita:128 GB, Rýchlosť čítania: 100 MB/s, Zaruka:2"/>
    <n v="42.3"/>
    <n v="3"/>
    <n v="126.89999999999999"/>
    <n v="10.059999999999999"/>
    <n v="22.94"/>
    <n v="48.75"/>
  </r>
  <r>
    <n v="986"/>
    <s v="Kúpna zmluva č. OVO2-2018/000019-030"/>
    <n v="3888033"/>
    <s v="https://crz.gov.sk/3888033"/>
    <s v="https://crz.gov.sk/data/att/3888035_dokument1.pdf"/>
    <x v="5"/>
    <s v="Typ: kábel, Prevedenie: USB 3.0, Rýchlosť prenosu dát: 10Gbps, Dĺžka kábla: 0,15m, Zaruka:2"/>
    <n v="6.1"/>
    <n v="4"/>
    <n v="24.4"/>
    <n v="17.549999999999997"/>
    <n v="275.8"/>
    <n v="11191.057499999999"/>
  </r>
  <r>
    <n v="987"/>
    <s v="Kúpna zmluva č. OVO2-2018/000019-030"/>
    <n v="3888033"/>
    <s v="https://crz.gov.sk/3888033"/>
    <s v="https://crz.gov.sk/data/att/3888035_dokument1.pdf"/>
    <x v="5"/>
    <s v="Typ: USB Hub, Počet portov: 7, Rýchlosť prenostu: 5Gbps, Zaruka:2"/>
    <n v="22.8"/>
    <n v="12"/>
    <n v="273.60000000000002"/>
    <n v="17.549999999999997"/>
    <n v="275.8"/>
    <n v="11191.057499999999"/>
  </r>
  <r>
    <n v="988"/>
    <s v="Kúpna zmluva č. OVO2-2018/000019-030"/>
    <n v="3888033"/>
    <s v="https://crz.gov.sk/3888033"/>
    <s v="https://crz.gov.sk/data/att/3888035_dokument1.pdf"/>
    <x v="38"/>
    <s v="Typ: Prevedenie: bezdrôtové, Senzor: optický, Rozlisenie: 1000 dpi, Počet tlačidiel: 3, Zaruka: 2"/>
    <n v="13.3"/>
    <n v="3"/>
    <n v="39.900000000000006"/>
    <n v="4.25"/>
    <n v="6.12"/>
    <n v="13.55"/>
  </r>
  <r>
    <n v="989"/>
    <s v="Kúpna zmluva č. OVO2-2018/000019-030"/>
    <n v="3888033"/>
    <s v="https://crz.gov.sk/3888033"/>
    <s v="https://crz.gov.sk/data/att/3888035_dokument1.pdf"/>
    <x v="38"/>
    <s v="Typ: Prevedenie: drôtové, Senzor: optický, Rozlisenie: 3200 dpi, Dĺžka kábla: 1,8m, Zaruka: 2"/>
    <n v="13.8"/>
    <n v="3"/>
    <n v="41.400000000000006"/>
    <n v="4.25"/>
    <n v="6.12"/>
    <n v="13.55"/>
  </r>
  <r>
    <n v="990"/>
    <s v="Kúpna zmluva č. OVO2-2018/000019-030"/>
    <n v="3888033"/>
    <s v="https://crz.gov.sk/3888033"/>
    <s v="https://crz.gov.sk/data/att/3888035_dokument1.pdf"/>
    <x v="5"/>
    <s v="Typ: Napalovačka, Prevedenie: slimline,externá, Formáty: Blue-ray, DVD, CD, Zaruka:2"/>
    <n v="101.5"/>
    <n v="3"/>
    <n v="304.5"/>
    <n v="17.549999999999997"/>
    <n v="275.8"/>
    <n v="11191.057499999999"/>
  </r>
  <r>
    <n v="991"/>
    <s v="Kúpna zmluva č. OVO2-2018/000019-030"/>
    <n v="3888033"/>
    <s v="https://crz.gov.sk/3888033"/>
    <s v="https://crz.gov.sk/data/att/3888035_dokument1.pdf"/>
    <x v="63"/>
    <s v="Typ: Tvar: USB kľúč, Rýchlosť prenosu: 150Mb/s, Zaruka: 2"/>
    <n v="41.7"/>
    <n v="1"/>
    <n v="41.7"/>
    <n v="41.7"/>
    <n v="41.7"/>
    <n v="41.7"/>
  </r>
  <r>
    <n v="992"/>
    <s v="Kúpna zmluva č. OVO2-2018/000019-030"/>
    <n v="3888033"/>
    <s v="https://crz.gov.sk/3888033"/>
    <s v="https://crz.gov.sk/data/att/3888035_dokument1.pdf"/>
    <x v="11"/>
    <s v="Typ: Skutočný výkon: 1800W, Zdanlivý výkon vo VA: 2000, Zaruka: 2"/>
    <n v="272.60000000000002"/>
    <n v="15"/>
    <n v="4089.0000000000005"/>
    <n v="59.227499999999999"/>
    <n v="332.14"/>
    <n v="1331.8050000000001"/>
  </r>
  <r>
    <n v="993"/>
    <s v="Kúpna zmluva č. OVO2-2018/000019-030"/>
    <n v="3888033"/>
    <s v="https://crz.gov.sk/3888033"/>
    <s v="https://crz.gov.sk/data/att/3888035_dokument1.pdf"/>
    <x v="5"/>
    <s v="Typ: Zariadenie slúžiace na vyhotovenie image diskov, Zdrojové porty: SATA, USB3, PCIe, SAS, FireWire 800, IDE, Zaruka: 2"/>
    <n v="3504"/>
    <n v="4"/>
    <n v="14016"/>
    <n v="17.549999999999997"/>
    <n v="275.8"/>
    <n v="11191.057499999999"/>
  </r>
  <r>
    <n v="994"/>
    <s v="Kúpna zmluva č. OVO2-2018/000019-030"/>
    <n v="3888033"/>
    <s v="https://crz.gov.sk/3888033"/>
    <s v="https://crz.gov.sk/data/att/3888035_dokument1.pdf"/>
    <x v="5"/>
    <s v="Typ: Kábel, Materiál: kevlarové vlákno, Dĺžka kábla: 1,2m, Certifikácia: MFI certifikácia, Zaruka: 2"/>
    <n v="18"/>
    <n v="8"/>
    <n v="144"/>
    <n v="17.549999999999997"/>
    <n v="275.8"/>
    <n v="11191.057499999999"/>
  </r>
  <r>
    <n v="995"/>
    <s v="Kúpna zmluva č. OVO2-2018/000019-030"/>
    <n v="3888033"/>
    <s v="https://crz.gov.sk/3888033"/>
    <s v="https://crz.gov.sk/data/att/3888035_dokument1.pdf"/>
    <x v="5"/>
    <s v="Typ: Kábel, Materiál: kevlarové vlákno, Dĺžka kábla: 1,2m, Certifikácia: MFI certifikácia, Zaruka: 2"/>
    <n v="21.2"/>
    <n v="8"/>
    <n v="169.6"/>
    <n v="17.549999999999997"/>
    <n v="275.8"/>
    <n v="11191.057499999999"/>
  </r>
  <r>
    <n v="996"/>
    <s v="Kúpna zmluva č. OVO2-2018/000019-030"/>
    <n v="3888033"/>
    <s v="https://crz.gov.sk/3888033"/>
    <s v="https://crz.gov.sk/data/att/3888035_dokument1.pdf"/>
    <x v="5"/>
    <s v="Typ: Multi adaptér na notebooky, Vstupný výkon: 90W, Zaruka: 2"/>
    <n v="20.399999999999999"/>
    <n v="3"/>
    <n v="61.199999999999996"/>
    <n v="17.549999999999997"/>
    <n v="275.8"/>
    <n v="11191.057499999999"/>
  </r>
  <r>
    <n v="997"/>
    <s v="zmluva o dielo"/>
    <n v="3850157"/>
    <s v="https://crz.gov.sk/3850157"/>
    <s v="https://www.crz.gov.sk/data/att/3850163_dokument1.pdf"/>
    <x v="64"/>
    <s v="Typ: 12U, Rozmery: 600x600mm,Zaruka: 3"/>
    <n v="160"/>
    <n v="16"/>
    <n v="2560"/>
    <n v="280"/>
    <n v="400"/>
    <n v="550"/>
  </r>
  <r>
    <n v="998"/>
    <s v="zmluva o dielo"/>
    <n v="3850157"/>
    <s v="https://crz.gov.sk/3850157"/>
    <s v="https://www.crz.gov.sk/data/att/3850163_dokument1.pdf"/>
    <x v="64"/>
    <s v="Typ: 24U, Rozmery: 600x600mm,Zaruka: 3"/>
    <n v="400"/>
    <n v="1"/>
    <n v="400"/>
    <n v="280"/>
    <n v="400"/>
    <n v="550"/>
  </r>
  <r>
    <n v="999"/>
    <s v="zmluva o dielo"/>
    <n v="3850157"/>
    <s v="https://crz.gov.sk/3850157"/>
    <s v="https://www.crz.gov.sk/data/att/3850163_dokument1.pdf"/>
    <x v="64"/>
    <s v="Typ: 42U, Rozmery: 800x800mm,Zaruka: 3"/>
    <n v="700"/>
    <n v="5"/>
    <n v="3500"/>
    <n v="280"/>
    <n v="400"/>
    <n v="550"/>
  </r>
  <r>
    <n v="1000"/>
    <s v="zmluva o dielo"/>
    <n v="3850157"/>
    <s v="https://crz.gov.sk/3850157"/>
    <s v="https://www.crz.gov.sk/data/att/3850163_dokument1.pdf"/>
    <x v="34"/>
    <s v="Typ: Osadený modulárny patch panel 24xRJ45, Veľkosť: 1U,Zaruka: 3"/>
    <n v="100"/>
    <n v="60"/>
    <n v="6000"/>
    <n v="40.5"/>
    <n v="43.39"/>
    <n v="69.25"/>
  </r>
  <r>
    <n v="1001"/>
    <s v="zmluva o dielo"/>
    <n v="3850157"/>
    <s v="https://crz.gov.sk/3850157"/>
    <s v="https://www.crz.gov.sk/data/att/3850163_dokument1.pdf"/>
    <x v="5"/>
    <s v="Typ: Vyväzovací panel 19&quot;, Výška: 1U,Zaruka: 3"/>
    <n v="12"/>
    <n v="60"/>
    <n v="720"/>
    <n v="17.549999999999997"/>
    <n v="275.8"/>
    <n v="11191.057499999999"/>
  </r>
  <r>
    <n v="1002"/>
    <s v="zmluva o dielo"/>
    <n v="3850157"/>
    <s v="https://crz.gov.sk/3850157"/>
    <s v="https://www.crz.gov.sk/data/att/3850163_dokument1.pdf"/>
    <x v="18"/>
    <s v="Typ: Priepustnosť: 80Gbps, Výška: 1U, Počet portov: 48,Zaruka: 3"/>
    <n v="3017.97"/>
    <n v="3"/>
    <n v="9053.91"/>
    <n v="1759.125"/>
    <n v="3923.7249999999999"/>
    <n v="12062.504999999999"/>
  </r>
  <r>
    <n v="1003"/>
    <s v="zmluva o dielo"/>
    <n v="3850157"/>
    <s v="https://crz.gov.sk/3850157"/>
    <s v="https://www.crz.gov.sk/data/att/3850163_dokument1.pdf"/>
    <x v="18"/>
    <s v="Typ: Priepustnosť: 80Gbps, Výška: 1U, Počet portov: 48,Zaruka: 3"/>
    <n v="2047.08"/>
    <n v="13"/>
    <n v="26612.04"/>
    <n v="1759.125"/>
    <n v="3923.7249999999999"/>
    <n v="12062.504999999999"/>
  </r>
  <r>
    <n v="1004"/>
    <s v="zmluva o dielo"/>
    <n v="3850157"/>
    <s v="https://crz.gov.sk/3850157"/>
    <s v="https://www.crz.gov.sk/data/att/3850163_dokument1.pdf"/>
    <x v="18"/>
    <s v="Typ: Počet portov: 24, Prepínacia kapacita: 640Gbps,Zaruka: 3"/>
    <n v="13495.22"/>
    <n v="2"/>
    <n v="26990.44"/>
    <n v="1759.125"/>
    <n v="3923.7249999999999"/>
    <n v="12062.504999999999"/>
  </r>
  <r>
    <n v="1005"/>
    <s v="zmluva o dielo"/>
    <n v="3850157"/>
    <s v="https://crz.gov.sk/3850157"/>
    <s v="https://www.crz.gov.sk/data/att/3850163_dokument1.pdf"/>
    <x v="18"/>
    <s v="Typ: Počet portov: 48, Prepínacia kapacita: 175Gbps,Zaruka: 3"/>
    <n v="6282.09"/>
    <n v="25"/>
    <n v="157052.25"/>
    <n v="1759.125"/>
    <n v="3923.7249999999999"/>
    <n v="12062.504999999999"/>
  </r>
  <r>
    <n v="1006"/>
    <s v="zmluva o dielo"/>
    <n v="3850157"/>
    <s v="https://crz.gov.sk/3850157"/>
    <s v="https://www.crz.gov.sk/data/att/3850163_dokument1.pdf"/>
    <x v="18"/>
    <s v="Typ: Počet portov: 24, Prepínacia kapacita: 88Gbps,Zaruka: 3"/>
    <n v="3703.99"/>
    <n v="2"/>
    <n v="7407.98"/>
    <n v="1759.125"/>
    <n v="3923.7249999999999"/>
    <n v="12062.504999999999"/>
  </r>
  <r>
    <n v="1007"/>
    <s v="zmluva o dielo"/>
    <n v="3850157"/>
    <s v="https://crz.gov.sk/3850157"/>
    <s v="https://www.crz.gov.sk/data/att/3850163_dokument1.pdf"/>
    <x v="0"/>
    <s v="Typ: RAM: 16GB,Proc.: passmark 12000, Kapacita: 512GB SSD,Zaruka: 3"/>
    <n v="1733.8"/>
    <n v="2"/>
    <n v="3467.6"/>
    <n v="680"/>
    <n v="991"/>
    <n v="1485.8333333333335"/>
  </r>
  <r>
    <n v="1008"/>
    <s v="zmluva o dielo"/>
    <n v="3850157"/>
    <s v="https://crz.gov.sk/3850157"/>
    <s v="https://www.crz.gov.sk/data/att/3850163_dokument1.pdf"/>
    <x v="2"/>
    <s v="Typ: Velkost: 40&quot;, Rozlisenie: 3840x2160,Zaruka: 3"/>
    <n v="631"/>
    <n v="2"/>
    <n v="1262"/>
    <n v="141.67500000000001"/>
    <n v="194"/>
    <n v="266.75"/>
  </r>
  <r>
    <n v="1009"/>
    <s v="zmluva o dielo"/>
    <n v="3850157"/>
    <s v="https://crz.gov.sk/3850157"/>
    <s v="https://www.crz.gov.sk/data/att/3850163_dokument1.pdf"/>
    <x v="19"/>
    <s v="Typ: Pásma 5Ghz/ 2,4Ghz, VLAN: áno, Počet SSID: 4, MIMO: 3x3 v pásme 2,4GHz, Podporované štandardy: 802.11 a/ b/ g/ n, Zabezpečenie: WEP, WPA-PSK, WPA-TKIP, WPA2 AES,Zaruka: 3"/>
    <n v="422.55"/>
    <n v="100"/>
    <n v="42255"/>
    <n v="88.21"/>
    <n v="134.57"/>
    <n v="252.7"/>
  </r>
  <r>
    <n v="1010"/>
    <s v="Kúpna zmluva SE-VO2-2021/002258-016"/>
    <n v="5827349"/>
    <s v="https://crz.gov.sk/zmluva/5827349"/>
    <s v="https://www.crz.gov.sk/data/att/2932030.pdf"/>
    <x v="0"/>
    <s v="Typ: HP EliteDesk 800 Small Form Factor, Proc.: Intel Core i3 10300 3.7GHz 4C 65W 4 jadrá passmark 9351, RAM: 8GB,Disk: SSD 256GB,VGA: Zdiel, Zdroj: 260W , Zaruka: 3"/>
    <n v="661"/>
    <n v="50"/>
    <n v="33050"/>
    <n v="680"/>
    <n v="991"/>
    <n v="1485.8333333333335"/>
  </r>
  <r>
    <n v="1011"/>
    <s v="Kúpna zmluva SE-VO2-2021/002258-016"/>
    <n v="5827349"/>
    <s v="https://crz.gov.sk/zmluva/5827349"/>
    <s v="https://www.crz.gov.sk/data/att/2932030.pdf"/>
    <x v="1"/>
    <s v="Typ: HP ProBook 650G8, Proc.: 2-jadro Intel Core i3 - 1115G4 3GHz  passmark 4100, RAM: 8GB, Disk: SSD 256GB, VGA: Zdiel., Disp: FHD,Zaruka: 3"/>
    <n v="1028"/>
    <n v="40"/>
    <n v="41120"/>
    <n v="783.15"/>
    <n v="1196.3"/>
    <n v="1455.5"/>
  </r>
  <r>
    <n v="1012"/>
    <s v="Kúpna zmluva SE-VO2-2021/002258-016"/>
    <n v="5827349"/>
    <s v="https://crz.gov.sk/zmluva/5827349"/>
    <s v="https://www.crz.gov.sk/data/att/2932030.pdf"/>
    <x v="1"/>
    <s v="Typ: HP EliteBook 840 G8, Proc.: 4-jadro Intel Core i5 - 1135G7  passmark 10029, RAM: 8GB, Disk: SSD 256GB,VGA: Zdiel., Disp: FHD, Zaruka: 3"/>
    <n v="1190"/>
    <n v="10"/>
    <n v="11900"/>
    <n v="783.15"/>
    <n v="1196.3"/>
    <n v="1455.5"/>
  </r>
  <r>
    <n v="1013"/>
    <s v="Kúpna zmluva SE-VO2-2021/002258-016"/>
    <n v="5827349"/>
    <s v="https://crz.gov.sk/zmluva/5827349"/>
    <s v="https://www.crz.gov.sk/data/att/2932030.pdf"/>
    <x v="1"/>
    <s v="Typ: HP EliteBook 830 G8,Proc.: neuvedene,RAM: neuvedene,Disk: SSD 512GB, VGA: Zdiel,Disp: FHD, Zaruka: 3"/>
    <n v="1263"/>
    <n v="5"/>
    <n v="6315"/>
    <n v="783.15"/>
    <n v="1196.3"/>
    <n v="1455.5"/>
  </r>
  <r>
    <n v="1014"/>
    <s v="Kúpna zmluva SE-VO2-2021/002258-016"/>
    <n v="5827349"/>
    <s v="https://crz.gov.sk/zmluva/5827349"/>
    <s v="https://www.crz.gov.sk/data/att/2932030.pdf"/>
    <x v="2"/>
    <s v="Typ: HP 243m, Velkost: 23,8&quot;, Jas: 250 cd/m2, Kontrast: 1000:1 staticky, Odozva: 5ms, Rozlisenie: 1920x1080px, Frekv.: 60Hz, Zaruka: 3"/>
    <n v="198"/>
    <n v="100"/>
    <n v="19800"/>
    <n v="141.67500000000001"/>
    <n v="194"/>
    <n v="266.75"/>
  </r>
  <r>
    <n v="1015"/>
    <s v="Kúpna zmluva SE-VO2-2021/002258-016"/>
    <n v="5827349"/>
    <s v="https://crz.gov.sk/zmluva/5827349"/>
    <s v="https://www.crz.gov.sk/data/att/2932030.pdf"/>
    <x v="2"/>
    <s v="Typ: HP 273m, Velkost: 27&quot;, Jas: 250 cm/m2, Kontrast: 1000:1 staticky, Odozva: 5ms, Rozlisenie: 1920x1080px, Frekv.: 60Hz, Zaruka: 3"/>
    <n v="240"/>
    <n v="5"/>
    <n v="1200"/>
    <n v="141.67500000000001"/>
    <n v="194"/>
    <n v="266.75"/>
  </r>
  <r>
    <n v="1016"/>
    <s v="Kúpna zmluva SE-VO2-2021/002258-016"/>
    <n v="5827349"/>
    <s v="https://crz.gov.sk/zmluva/5827349"/>
    <s v="https://www.crz.gov.sk/data/att/2932030.pdf"/>
    <x v="3"/>
    <s v="Typ: HP LaserJet Pro M404dn, Technologia: laser/atrament, Farba: nie, Format: A4, Kapacita zásobníka: 250 listov, Zaruka: 3"/>
    <n v="182"/>
    <n v="100"/>
    <n v="18200"/>
    <n v="229.78"/>
    <n v="424.2"/>
    <n v="1030.3"/>
  </r>
  <r>
    <n v="1017"/>
    <s v="Kúpna zmluva SE-VO2-2021/002258-016"/>
    <n v="5827349"/>
    <s v="https://crz.gov.sk/zmluva/5827349"/>
    <s v="https://www.crz.gov.sk/data/att/2932030.pdf"/>
    <x v="3"/>
    <s v="Typ: HP Cool LaserJet Pro M479fdn, Funkcie: skener kopírka tlač, Format: A4, Technologia: laser, Farba: ano, Kapacita zásobníka: 250 listov, Zaruka: 3"/>
    <n v="376"/>
    <n v="10"/>
    <n v="3760"/>
    <n v="229.78"/>
    <n v="424.2"/>
    <n v="1030.3"/>
  </r>
  <r>
    <n v="1018"/>
    <s v="Kúpna zmluva č. 2019/227 výpočtová technika a periféria"/>
    <n v="4143956"/>
    <s v="https://crz.gov.sk/4143956"/>
    <s v="https://www.crz.gov.sk/data/att/4143958_dokument1.pdf"/>
    <x v="0"/>
    <s v="Typ: HP EliteDesk 705 G4, Proc.: 4-jadro AMD PRO A10 9700 3.5 GHz Quad Core 65W  passmark 5677, RAM: 4GB,Disk: HDD 500GB 7200rpm, VGA: Zdiel,Zdroj: 180W, Zaruka: 5 "/>
    <n v="795.9"/>
    <n v="230"/>
    <n v="183057"/>
    <n v="680"/>
    <n v="991"/>
    <n v="1485.8333333333335"/>
  </r>
  <r>
    <n v="1019"/>
    <s v="Kúpna zmluva č. 2019/227 výpočtová technika a periféria"/>
    <n v="4143956"/>
    <s v="https://crz.gov.sk/4143956"/>
    <s v="https://www.crz.gov.sk/data/att/4143958_dokument1.pdf"/>
    <x v="0"/>
    <s v="Typ: HP EliteDesk 705 G4, Proc.: AMD Ryzen3 Pro 1300 3.5 GHz Quad Core 4 jadrá 8MB cache passmark 8300, RAM: 8GB,Disk: SSD 256GB,VGA: Zdiel,Zdroj: 180W, Zaruka: 5"/>
    <n v="988.8"/>
    <n v="206"/>
    <n v="203692.79999999999"/>
    <n v="680"/>
    <n v="991"/>
    <n v="1485.8333333333335"/>
  </r>
  <r>
    <n v="1020"/>
    <s v="Kúpna zmluva č. 2019/227 výpočtová technika a periféria"/>
    <n v="4143956"/>
    <s v="https://crz.gov.sk/4143956"/>
    <s v="https://www.crz.gov.sk/data/att/4143958_dokument1.pdf"/>
    <x v="0"/>
    <s v="Typ: HP EliteDesk 800 G4, Proc.: Intel i7-7700 8 jadier 8MB cache passmark 10756, RAM: 8GB,Disk: SSD 256GB,VGA: nezdiel 2GB AMD Radeon R7 430 passmark 1411,Zdroj: 250W, Zaruka: 5"/>
    <n v="1102.2"/>
    <n v="10"/>
    <n v="11022"/>
    <n v="680"/>
    <n v="991"/>
    <n v="1485.8333333333335"/>
  </r>
  <r>
    <n v="1021"/>
    <s v="Kúpna zmluva č. 2019/227 výpočtová technika a periféria"/>
    <n v="4143956"/>
    <s v="https://crz.gov.sk/4143956"/>
    <s v="https://www.crz.gov.sk/data/att/4143958_dokument1.pdf"/>
    <x v="1"/>
    <s v="Typ: HP Probook 650g4, Proc.: 8-jadro Intel i5-8250U  6MB cache passmark 7673, RAM: 4GB DDR4 2400 rozšíriteľná na 32GB, Disk: HDD 500GB 7200 rpm,VGA: Zdiel, Disp: FHD, Zaruka: 5"/>
    <n v="1336.7"/>
    <n v="150"/>
    <n v="200505"/>
    <n v="783.15"/>
    <n v="1196.3"/>
    <n v="1455.5"/>
  </r>
  <r>
    <n v="1022"/>
    <s v="Kúpna zmluva č. 2019/227 výpočtová technika a periféria"/>
    <n v="4143956"/>
    <s v="https://crz.gov.sk/4143956"/>
    <s v="https://www.crz.gov.sk/data/att/4143958_dokument1.pdf"/>
    <x v="1"/>
    <s v="Typ: HP Probook 650g4, Proc.: 8-jadro Intel i5-8250U 6MB cache passmark 7673, RAM: 4GB DDR4 2400 rozšíriteľná na 32GB, Disk: SSD 256GB,VGA: Zdiel, Disp: FHD, Zaruka: 5"/>
    <n v="1434.1"/>
    <n v="170"/>
    <n v="243796.99999999997"/>
    <n v="783.15"/>
    <n v="1196.3"/>
    <n v="1455.5"/>
  </r>
  <r>
    <n v="1023"/>
    <s v="Kúpna zmluva č. 2019/227 výpočtová technika a periféria"/>
    <n v="4143956"/>
    <s v="https://crz.gov.sk/4143956"/>
    <s v="https://www.crz.gov.sk/data/att/4143958_dokument1.pdf"/>
    <x v="1"/>
    <s v="Typ: HP EliteBook 840r, Proc.: 8-jadro Intel i5-8250U  6MB cache passmark 7673, RAM: 4GB DDR4 2400 rozšíriteľná na 32GB, Disk: HDD 500GB 7200 rpm,VGA: Zdiel, Disp: FHD, Zaruka: 5"/>
    <n v="1505.8"/>
    <n v="55"/>
    <n v="82819"/>
    <n v="783.15"/>
    <n v="1196.3"/>
    <n v="1455.5"/>
  </r>
  <r>
    <n v="1024"/>
    <s v="Kúpna zmluva č. 2019/227 výpočtová technika a periféria"/>
    <n v="4143956"/>
    <s v="https://crz.gov.sk/4143956"/>
    <s v="https://www.crz.gov.sk/data/att/4143958_dokument1.pdf"/>
    <x v="1"/>
    <s v="Typ: Lenovo ThinkPad T480,Proc.: 8-jadro Intel i5-8250U 6MB cache passmark 7673, RAM: 8GB DDR4 2400 rozšíriteľná na 32GB, Disk: SSD 256GB,VGA: Zdiel,Disp: FHD, Zaruka: 5"/>
    <n v="1592"/>
    <n v="5"/>
    <n v="7960"/>
    <n v="783.15"/>
    <n v="1196.3"/>
    <n v="1455.5"/>
  </r>
  <r>
    <n v="1025"/>
    <s v="Kúpna zmluva č. 2019/227 výpočtová technika a periféria"/>
    <n v="4143956"/>
    <s v="https://crz.gov.sk/4143956"/>
    <s v="https://www.crz.gov.sk/data/att/4143958_dokument1.pdf"/>
    <x v="1"/>
    <s v="Typ: HP Probook 650 G4, Proc.: 8-jadro Intel i7-8650U  8MB cache passmark 8920, RAM: 16GB DDR4 2400 rozšíriteľná na 32GB, Disk: SSD 256GB,VGA: Zdiel,Disp: FHD, Zaruka: 5"/>
    <n v="1869.1"/>
    <n v="10"/>
    <n v="18691"/>
    <n v="783.15"/>
    <n v="1196.3"/>
    <n v="1455.5"/>
  </r>
  <r>
    <n v="1026"/>
    <s v="Kúpna zmluva č. 2019/227 výpočtová technika a periféria"/>
    <n v="4143956"/>
    <s v="https://crz.gov.sk/4143956"/>
    <s v="https://www.crz.gov.sk/data/att/4143958_dokument1.pdf"/>
    <x v="2"/>
    <s v="Typ: HP EliteDisplay E243, Velkost: 23,8&quot; LED 16:9, Jas: 250cd/m2, Kontrast: 1000:1 staticky, Odozva: 5ms, Rozslíšenie obrazovky: 1920x1080, Frekv.: 60Hz, Zaruka: 5"/>
    <n v="178.8"/>
    <n v="430"/>
    <n v="76884"/>
    <n v="141.67500000000001"/>
    <n v="194"/>
    <n v="266.75"/>
  </r>
  <r>
    <n v="1027"/>
    <s v="Kúpna zmluva č. 2019/227 výpočtová technika a periféria"/>
    <n v="4143956"/>
    <s v="https://crz.gov.sk/4143956"/>
    <s v="https://www.crz.gov.sk/data/att/4143958_dokument1.pdf"/>
    <x v="2"/>
    <s v="Typ: HP EliteDisplay E243i, Velkost: 24&quot; LED 16:10, Jas: 300cd/m2, Kontrast: 1000:1 staticky, Odozva: 5ms, Rozlisenie: 1920x1200, Frekv.: 60Hz, Zaruka: 5"/>
    <n v="220"/>
    <n v="320"/>
    <n v="70400"/>
    <n v="141.67500000000001"/>
    <n v="194"/>
    <n v="266.75"/>
  </r>
  <r>
    <n v="1028"/>
    <s v="Kúpna zmluva č. 2019/227 výpočtová technika a periféria"/>
    <n v="4143956"/>
    <s v="https://crz.gov.sk/4143956"/>
    <s v="https://www.crz.gov.sk/data/att/4143958_dokument1.pdf"/>
    <x v="2"/>
    <s v="Typ: HP Z24n G2, Velkost: 24&quot; LED 16:10, Jas: 300cd/m2, Kontrast: 1000:1 staticky: Odozva: 5,8 ms, Rozlisenie: 1920x1200, Frekv.: 60Hz, Zaruka: 5"/>
    <n v="257.89999999999998"/>
    <n v="65"/>
    <n v="16763.5"/>
    <n v="141.67500000000001"/>
    <n v="194"/>
    <n v="266.75"/>
  </r>
  <r>
    <n v="1029"/>
    <s v="Kúpna zmluva č. 2019/227 výpočtová technika a periféria"/>
    <n v="4143956"/>
    <s v="https://crz.gov.sk/4143956"/>
    <s v="https://www.crz.gov.sk/data/att/4143958_dokument1.pdf"/>
    <x v="2"/>
    <s v="Typ: HP Z27n G2, Velkost: 27&quot; LED 16:10, Jas: 300cd/m2, Kontrast: 1000:1 staticky, Odozva: 5,3 ms, Rozlisenie: 2560x1440, Frekv.: 60HZ, Zaruka: 5"/>
    <n v="315"/>
    <n v="10"/>
    <n v="3150"/>
    <n v="141.67500000000001"/>
    <n v="194"/>
    <n v="266.75"/>
  </r>
  <r>
    <n v="1030"/>
    <s v="Kúpna zmluva č. 2019/227 výpočtová technika a periféria"/>
    <n v="4143956"/>
    <s v="https://crz.gov.sk/4143956"/>
    <s v="https://www.crz.gov.sk/data/att/4143958_dokument1.pdf"/>
    <x v="3"/>
    <s v="Typ: HP LaserJet Pro M404dn, Technologia: laser, Farba: nie, Format: A4, Rozlisenie: 1200 dpi, Vstupná kapacita zásobníka: 250 listov, Rýchlosť tlače: 38 listov/minúta, Zaruka: 5"/>
    <n v="278.8"/>
    <n v="52"/>
    <n v="14497.6"/>
    <n v="229.78"/>
    <n v="424.2"/>
    <n v="1030.3"/>
  </r>
  <r>
    <n v="1031"/>
    <s v="Kúpna zmluva č. 2019/227 výpočtová technika a periféria"/>
    <n v="4143956"/>
    <s v="https://crz.gov.sk/4143956"/>
    <s v="https://www.crz.gov.sk/data/att/4143958_dokument1.pdf"/>
    <x v="3"/>
    <s v="Typ: HP LaserJet Pro MFP M428fdn, Technologia: laser, Farba: nie, Format: A4, Rozlisenie 1200 dpi, Skener: áno,  Vstupná kapacita zásobníka: 250 listov, Rýchlosť tlače: 38 listov/minúta, Zaruka: 5"/>
    <n v="580.29999999999995"/>
    <n v="81"/>
    <n v="47004.299999999996"/>
    <n v="229.78"/>
    <n v="424.2"/>
    <n v="1030.3"/>
  </r>
  <r>
    <n v="1032"/>
    <s v="Kúpna zmluva č. 2019/227 výpočtová technika a periféria"/>
    <n v="4143956"/>
    <s v="https://crz.gov.sk/4143956"/>
    <s v="https://www.crz.gov.sk/data/att/4143958_dokument1.pdf"/>
    <x v="3"/>
    <s v="Typ: HP PageWide Pro 477dw MFP, Technologia: atrament, Farba: ano, Format: A4, Rozlisenie 600 dpi, Skener: áno, Vstupná kapacita zásobníka: 300 listov, Rýchlosť tlače: 40 listov/minúta, Zaruka: 5"/>
    <n v="750.8"/>
    <n v="39"/>
    <n v="29281.199999999997"/>
    <n v="229.78"/>
    <n v="424.2"/>
    <n v="1030.3"/>
  </r>
  <r>
    <n v="1033"/>
    <s v="Kúpna zmluva č. 2019/227 výpočtová technika a periféria"/>
    <n v="4143956"/>
    <s v="https://crz.gov.sk/4143956"/>
    <s v="https://www.crz.gov.sk/data/att/4143958_dokument1.pdf"/>
    <x v="3"/>
    <s v="Typ: HP PageWide Enteprise Color MFP 586dn, Technologia: atrament, Farba: ano, Format: A4, Rozlisenie 1200 dpi, Rozlisenie 600 dpi, Skener: áno, Vstupná kapacita zázobíka: 500 listov, Rýchlosť tlače: 50 listov/minúta, Zaruka: 5"/>
    <n v="2378.1999999999998"/>
    <n v="3"/>
    <n v="7134.5999999999995"/>
    <n v="229.78"/>
    <n v="424.2"/>
    <n v="1030.3"/>
  </r>
  <r>
    <n v="1034"/>
    <s v="Kúpna zmluva č. 2019/227 výpočtová technika a periféria"/>
    <n v="4143956"/>
    <s v="https://crz.gov.sk/4143956"/>
    <s v="https://www.crz.gov.sk/data/att/4143958_dokument1.pdf"/>
    <x v="3"/>
    <s v="Typ: HP PageWide Color MFP 779dn, Technologia: atrament, Farba: ano,Format: A3, Rozlisenie: 600 dpi, Skener: áno, Vstupná kapacita zásobníka: 550 listov, Rýchlosť tlače: 65 listov/minúta, Zaruka: 5"/>
    <n v="4447"/>
    <n v="3"/>
    <n v="13341"/>
    <n v="229.78"/>
    <n v="424.2"/>
    <n v="1030.3"/>
  </r>
  <r>
    <n v="1035"/>
    <s v="Kúpna zmluva č. 2019/257 - Výpočtová technika a periférié"/>
    <n v="4368008"/>
    <s v="https://crz.gov.sk/4368008"/>
    <s v="https://www.crz.gov.sk/data/att/4368013_dokument1.pdf"/>
    <x v="0"/>
    <s v="Typ: HP EliteDesk 705 G4, Proc.: 4-jadro AMD PRO A10 9700 3.5 GHz Quad Core 65W  passmark 5677, RAM: 4GB,Disk: HDD 500GB 7200rpm, VGA: Zdiel,Zdroj: 180W, Zaruka: 5 "/>
    <n v="797"/>
    <n v="70"/>
    <n v="55790"/>
    <n v="680"/>
    <n v="991"/>
    <n v="1485.8333333333335"/>
  </r>
  <r>
    <n v="1036"/>
    <s v="Kúpna zmluva č. 2019/257 - Výpočtová technika a periférié"/>
    <n v="4368008"/>
    <s v="https://crz.gov.sk/4368008"/>
    <s v="https://www.crz.gov.sk/data/att/4368013_dokument1.pdf"/>
    <x v="0"/>
    <s v="Typ: HP EliteDesk 705 G4, Proc.: AMD Ryzen3 Pro 1300 3.5 GHz Quad Core 4 jadrá 8MB cache passmark 8300, RAM: 8GB,Disk: SSD 256GB,VGA: Zdiel,Zdroj: 180W, Zaruka: 5"/>
    <n v="991"/>
    <n v="54"/>
    <n v="53514"/>
    <n v="680"/>
    <n v="991"/>
    <n v="1485.8333333333335"/>
  </r>
  <r>
    <n v="1037"/>
    <s v="Kúpna zmluva č. 2019/257 - Výpočtová technika a periférié"/>
    <n v="4368008"/>
    <s v="https://crz.gov.sk/4368008"/>
    <s v="https://www.crz.gov.sk/data/att/4368013_dokument1.pdf"/>
    <x v="0"/>
    <s v="Typ: HP EliteDesk 800 G4, Proc.: Intel i7-7700 8 jadier 8MB cache passmark 10756, RAM: 8GB,Disk: SSD 256GB,VGA: nezdiel 2GB AMD Radeon R7 430 passmark 1411,Zdroj: 250W, Zaruka: 5"/>
    <n v="1105"/>
    <n v="31"/>
    <n v="34255"/>
    <n v="680"/>
    <n v="991"/>
    <n v="1485.8333333333335"/>
  </r>
  <r>
    <n v="1038"/>
    <s v="Kúpna zmluva č. 2019/257 - Výpočtová technika a periférié"/>
    <n v="4368008"/>
    <s v="https://crz.gov.sk/4368008"/>
    <s v="https://www.crz.gov.sk/data/att/4368013_dokument1.pdf"/>
    <x v="0"/>
    <s v="Typ: Lenovo ThinkStation P520, Proc.: 16-jadro passmark 19773, RAM: 16GB,Disk: SSD 256GB + HDD 1TB 7200 rpm,VGA: nezdiel Nvidia Quadro P4000 8GB passmark 10466,Zdroj: 900W, Zaruka: 5"/>
    <n v="3579"/>
    <n v="12"/>
    <n v="42948"/>
    <n v="680"/>
    <n v="991"/>
    <n v="1485.8333333333335"/>
  </r>
  <r>
    <n v="1039"/>
    <s v="Kúpna zmluva č. 2019/257 - Výpočtová technika a periférié"/>
    <n v="4368008"/>
    <s v="https://crz.gov.sk/4368008"/>
    <s v="https://www.crz.gov.sk/data/att/4368013_dokument1.pdf"/>
    <x v="1"/>
    <s v="Typ: HP Probook 650 G5, Proc.: 8-jadro Intel i5-8265U  6MB cache passmark 7987, RAM: 4GB DDR4 2400 rozšíriteľná na 32GB, Disk: HDD 500GB 7200 rpm,VGA: Zdiel,Disp: FHD, Zaruka: 5"/>
    <n v="1341"/>
    <n v="85"/>
    <n v="113985"/>
    <n v="783.15"/>
    <n v="1196.3"/>
    <n v="1455.5"/>
  </r>
  <r>
    <n v="1040"/>
    <s v="Kúpna zmluva č. 2019/257 - Výpočtová technika a periférié"/>
    <n v="4368008"/>
    <s v="https://crz.gov.sk/4368008"/>
    <s v="https://www.crz.gov.sk/data/att/4368013_dokument1.pdf"/>
    <x v="1"/>
    <s v="Typ: HP Probook 650 G5, Proc.: 8-jadro Intel i5-8265U 6MB cache passmark 7987, RAM: 8GB DDR4 2400 rozšíriteľná na 32GB, Disk: SSD 256GB,VGA: Zdiel,Disp: FHD, Zaruka: 5"/>
    <n v="1439"/>
    <n v="105"/>
    <n v="151095"/>
    <n v="783.15"/>
    <n v="1196.3"/>
    <n v="1455.5"/>
  </r>
  <r>
    <n v="1041"/>
    <s v="Kúpna zmluva č. 2019/257 - Výpočtová technika a periférié"/>
    <n v="4368008"/>
    <s v="https://crz.gov.sk/4368008"/>
    <s v="https://www.crz.gov.sk/data/att/4368013_dokument1.pdf"/>
    <x v="1"/>
    <s v="Typ: HP EliteBook 840 G6, Proc.: 8-jadro Intel i5-8265U 6MB cache passmark 7987, RAM: 8GB DDR4 2400 rozšíriteľná na 32GB, Disk: SSD 512GB,VGA: Zdiel,Disp: FHD, Zaruka: 5"/>
    <n v="1511"/>
    <n v="31"/>
    <n v="46841"/>
    <n v="783.15"/>
    <n v="1196.3"/>
    <n v="1455.5"/>
  </r>
  <r>
    <n v="1042"/>
    <s v="Kúpna zmluva č. 2019/257 - Výpočtová technika a periférié"/>
    <n v="4368008"/>
    <s v="https://crz.gov.sk/4368008"/>
    <s v="https://www.crz.gov.sk/data/att/4368013_dokument1.pdf"/>
    <x v="1"/>
    <s v="Typ: HP Probook 650 G5, Proc.: 8-jadro Intel i7-8665U 8MB cache passmark 9072, RAM: 16GB DDR4 2400 rozšíriteľná na 32GB, Disk: SSD 256GB,VGA: Zdiel,Disp: FHD, Zaruka: 5"/>
    <n v="1876"/>
    <n v="15"/>
    <n v="28140"/>
    <n v="783.15"/>
    <n v="1196.3"/>
    <n v="1455.5"/>
  </r>
  <r>
    <n v="1043"/>
    <s v="Kúpna zmluva č. 2019/257 - Výpočtová technika a periférié"/>
    <n v="4368008"/>
    <s v="https://crz.gov.sk/4368008"/>
    <s v="https://www.crz.gov.sk/data/att/4368013_dokument1.pdf"/>
    <x v="2"/>
    <s v="Typ: HP EliteDisplay E243, Velkost: 23,8&quot; LED 16:9, Jas: 250cd/m2, Kontrast: 1000:1 staticky, Odozva: 5ms,Rozlisenie: 1920x1080, Frekv.: 60Hz, Zaruka: 5"/>
    <n v="179"/>
    <n v="1670"/>
    <n v="298930"/>
    <n v="141.67500000000001"/>
    <n v="194"/>
    <n v="266.75"/>
  </r>
  <r>
    <n v="1044"/>
    <s v="Kúpna zmluva č. 2019/257 - Výpočtová technika a periférié"/>
    <n v="4368008"/>
    <s v="https://crz.gov.sk/4368008"/>
    <s v="https://www.crz.gov.sk/data/att/4368013_dokument1.pdf"/>
    <x v="2"/>
    <s v="Typ: HP EliteDisplay E243i, Velkost: 24&quot; LED 16:10, Jas: 300cd/m2, Kontrast: 1000:1 staticky, Odozva: 5ms, Rozlisenie: 1920x1200, Frekv.: 60Hz, Zaruka: 5"/>
    <n v="220"/>
    <n v="1105"/>
    <n v="243100"/>
    <n v="141.67500000000001"/>
    <n v="194"/>
    <n v="266.75"/>
  </r>
  <r>
    <n v="1045"/>
    <s v="Kúpna zmluva č. 2019/257 - Výpočtová technika a periférié"/>
    <n v="4368008"/>
    <s v="https://crz.gov.sk/4368008"/>
    <s v="https://www.crz.gov.sk/data/att/4368013_dokument1.pdf"/>
    <x v="2"/>
    <s v="Typ: HP Z24n G2, Velkost: 24&quot; LED 16:10, Jas: 300cd/m2, Kontrast: 1000:1 staticky: Odozva: 5,8 ms, Rozlisenie: 1920x1200, Frekv.: 60Hz, Zaruka: 5"/>
    <n v="259"/>
    <n v="31"/>
    <n v="8029"/>
    <n v="141.67500000000001"/>
    <n v="194"/>
    <n v="266.75"/>
  </r>
  <r>
    <n v="1046"/>
    <s v="Kúpna zmluva č. 2019/257 - Výpočtová technika a periférié"/>
    <n v="4368008"/>
    <s v="https://crz.gov.sk/4368008"/>
    <s v="https://www.crz.gov.sk/data/att/4368013_dokument1.pdf"/>
    <x v="2"/>
    <s v="Typ: HP Z27n G2, Velkost: 27&quot; LED 16:10, Jas: 300cd/m2, Kontrast: 1000:1 staticky, Odozva: 5,3 ms, Rozlisenie: 2560x1440, Frekv.: 60HZ, Zaruka: 5"/>
    <n v="317"/>
    <n v="58"/>
    <n v="18386"/>
    <n v="141.67500000000001"/>
    <n v="194"/>
    <n v="266.75"/>
  </r>
  <r>
    <n v="1047"/>
    <s v="Kúpna zmluva č. 2019/257 - Výpočtová technika a periférié"/>
    <n v="4368008"/>
    <s v="https://crz.gov.sk/4368008"/>
    <s v="https://www.crz.gov.sk/data/att/4368013_dokument1.pdf"/>
    <x v="3"/>
    <s v="Typ: HP LaserJet Pro M404dn, Technologia: laser, Farba: nie, Format: A4, Rozlisenie: 1200 dpi, Vstupná kapacita zásobníka: 250 listov, Rýchlosť tlače: 38 listov/minúta, Zaruka: 5"/>
    <n v="281"/>
    <n v="7"/>
    <n v="1967"/>
    <n v="229.78"/>
    <n v="424.2"/>
    <n v="1030.3"/>
  </r>
  <r>
    <n v="1048"/>
    <s v="Kúpna zmluva č. 2019/257 - Výpočtová technika a periférié"/>
    <n v="4368008"/>
    <s v="https://crz.gov.sk/4368008"/>
    <s v="https://www.crz.gov.sk/data/att/4368013_dokument1.pdf"/>
    <x v="3"/>
    <s v="Typ: HP PageWide Pro 452dw, Technologia: atrament, Farba: ano, Format: A4, Rozlisenie: 600 dpi, Vstupná kapacita zásobníka: 500 listov, Rýchlosť tlače: 40 listov/minúta, Zaruka: 5"/>
    <n v="483"/>
    <n v="7"/>
    <n v="3381"/>
    <n v="229.78"/>
    <n v="424.2"/>
    <n v="1030.3"/>
  </r>
  <r>
    <n v="1049"/>
    <s v="Kúpna zmluva č. 2019/257 - Výpočtová technika a periférié"/>
    <n v="4368008"/>
    <s v="https://crz.gov.sk/4368008"/>
    <s v="https://www.crz.gov.sk/data/att/4368013_dokument1.pdf"/>
    <x v="3"/>
    <s v="Typ: HP Color LaserJet Enterprise M553dn, Technologia: laser, Farba: ano, Fromát tlače: A4, Rozlisenie 1200 dpi, Vstupná kapacita zásobníka: 550 listov, Rýchlosť tlače: 38 listov/minúta, Zaruka: 5"/>
    <n v="689"/>
    <n v="8"/>
    <n v="5512"/>
    <n v="229.78"/>
    <n v="424.2"/>
    <n v="1030.3"/>
  </r>
  <r>
    <n v="1050"/>
    <s v="Kúpna zmluva č. 2019/257 - Výpočtová technika a periférié"/>
    <n v="4368008"/>
    <s v="https://crz.gov.sk/4368008"/>
    <s v="https://www.crz.gov.sk/data/att/4368013_dokument1.pdf"/>
    <x v="3"/>
    <s v="Typ: HP LaserJet Pro MFP M428fdn, Technologia: laser, Farba: mono, Format: A4, Rozlisenie 1200 dpi, Skener: áno,  Vstupná kapacita zásobníka: 250 listov, Rýchlosť tlače: 38 listov/minúta, Zátuka: 5"/>
    <n v="582"/>
    <n v="15"/>
    <n v="8730"/>
    <n v="229.78"/>
    <n v="424.2"/>
    <n v="1030.3"/>
  </r>
  <r>
    <n v="1051"/>
    <s v="Kúpna zmluva č. 2019/257 - Výpočtová technika a periférié"/>
    <n v="4368008"/>
    <s v="https://crz.gov.sk/4368008"/>
    <s v="https://www.crz.gov.sk/data/att/4368013_dokument1.pdf"/>
    <x v="3"/>
    <s v="Typ: HP PageWide Pro 477dw MFP, Technologia: atrament, Farba: ano, Format: A4, Rozlisenie 600 dpi, Skener: áno, Vstupná kapacita zásobníka: 300 listov, Rýchlosť tlače: 40 listov/minúta, Zaruka: 5"/>
    <n v="753"/>
    <n v="5"/>
    <n v="3765"/>
    <n v="229.78"/>
    <n v="424.2"/>
    <n v="1030.3"/>
  </r>
  <r>
    <n v="1052"/>
    <s v="Kúpna zmluva č. 2019/257 - Výpočtová technika a periférié"/>
    <n v="4368008"/>
    <s v="https://crz.gov.sk/4368008"/>
    <s v="https://www.crz.gov.sk/data/att/4368013_dokument1.pdf"/>
    <x v="3"/>
    <s v="Typ: HP PageWide Enterprise 780dn, Technologia: atrament, Farba: ano, Format: A3, Rozlisenie 1200 dpi, Skener: áno, Vstupná kapacita zásobníka: 550 listov, Rýchlosť tlače: 65 listov/minúta, Zaruka: 5"/>
    <n v="4457"/>
    <n v="1"/>
    <n v="4457"/>
    <n v="229.78"/>
    <n v="424.2"/>
    <n v="1030.3"/>
  </r>
  <r>
    <n v="1053"/>
    <s v="Kúpna zmluva č. 2019/257 - Výpočtová technika a periférié"/>
    <n v="4368008"/>
    <s v="https://crz.gov.sk/4368008"/>
    <s v="https://www.crz.gov.sk/data/att/4368013_dokument1.pdf"/>
    <x v="3"/>
    <s v="Typ: HP Color LaserJet Enterprise MFP M880z Flow, Technologia: laser, Farba: ano, Fromát papiera: A3, Rozlisenie 1200 dpi, Skener: áno, Vstupná kapacita zásobníka: 2000 listov, Rýchlosť tlače: 46 listov/minúta, Zaruka: 5"/>
    <n v="10049"/>
    <n v="2"/>
    <n v="20098"/>
    <n v="229.78"/>
    <n v="424.2"/>
    <n v="1030.3"/>
  </r>
  <r>
    <n v="1054"/>
    <s v="Kúpna zmluva č. OVO2-2019/000416-007"/>
    <n v="4108813"/>
    <s v="https://crz.gov.sk/4108813"/>
    <s v="https://www.crz.gov.sk/data/att/4108815_dokument1.pdf"/>
    <x v="5"/>
    <s v="Typ: EVOLVEO Dion 2,Externá,Funkcia: Klonovanie SATA disku bez počítača, Klonovanie SATA disku bez počítača, Podpora Thundebolt 3,Presonová rýchlosť: 10Gb/s,Kompatibilita s operačnými systémami: MS Windows,Zaruka: neuvedené"/>
    <n v="40"/>
    <n v="180"/>
    <n v="7200"/>
    <n v="17.549999999999997"/>
    <n v="275.8"/>
    <n v="11191.057499999999"/>
  </r>
  <r>
    <n v="1055"/>
    <s v="Kúpna zmluva č. OVO2-2019/000416-007"/>
    <n v="4108813"/>
    <s v="https://crz.gov.sk/4108813"/>
    <s v="https://www.crz.gov.sk/data/att/4108815_dokument1.pdf"/>
    <x v="23"/>
    <s v="Typ: I-tec PCEGLAN,Porty: 1x 1000Mb/s port PCIE,Zaruka: neuvedené"/>
    <n v="9.19"/>
    <n v="90"/>
    <n v="827.09999999999991"/>
    <n v="9.8249999999999993"/>
    <n v="21.14"/>
    <n v="248.75"/>
  </r>
  <r>
    <n v="1056"/>
    <s v="Kúpna zmluva č. OVO2-2019/000416-007"/>
    <n v="4108813"/>
    <s v="https://crz.gov.sk/4108813"/>
    <s v="https://www.crz.gov.sk/data/att/4108815_dokument1.pdf"/>
    <x v="23"/>
    <s v="Typ: Intellinet 522328, Porty: 1x 1000Mb/s port PCI,Zaruka: neuvedené"/>
    <n v="9.3000000000000007"/>
    <n v="90"/>
    <n v="837.00000000000011"/>
    <n v="9.8249999999999993"/>
    <n v="21.14"/>
    <n v="248.75"/>
  </r>
  <r>
    <n v="1057"/>
    <s v="Kúpna zmluva č. OVO2-2019/000416-007"/>
    <n v="4108813"/>
    <s v="https://crz.gov.sk/4108813"/>
    <s v="https://www.crz.gov.sk/data/att/4108815_dokument1.pdf"/>
    <x v="38"/>
    <s v="Typ: HP  X1000 - H2C21AA,Popis: drôtová, optická, USB konektor, 1000 DPI,Zaruka:neuvedené"/>
    <n v="5.22"/>
    <n v="1900"/>
    <n v="9918"/>
    <n v="4.25"/>
    <n v="6.12"/>
    <n v="13.55"/>
  </r>
  <r>
    <n v="1058"/>
    <s v="Kúpna zmluva č. OVO2-2019/000416-007"/>
    <n v="4108813"/>
    <s v="https://crz.gov.sk/4108813"/>
    <s v="https://www.crz.gov.sk/data/att/4108815_dokument1.pdf"/>
    <x v="39"/>
    <s v="Typ: Genius KB-125,Popis: drôtová, konektor USB, obsahuje numerickú klávesnicu,Zaruka: neuvedené"/>
    <n v="5.97"/>
    <n v="1900"/>
    <n v="11343"/>
    <n v="5.1899999999999995"/>
    <n v="8.5"/>
    <n v="21.95"/>
  </r>
  <r>
    <n v="1059"/>
    <s v="Kúpna zmluva č. OVO2-2019/000416-007"/>
    <n v="4108813"/>
    <s v="https://crz.gov.sk/4108813"/>
    <s v="https://www.crz.gov.sk/data/att/4108815_dokument1.pdf"/>
    <x v="39"/>
    <s v="Typ: Rikomagic I8 Wireless W,Popis: bezdrôtová, touchpad,Zaruka: neuvedené"/>
    <n v="21.8"/>
    <n v="360"/>
    <n v="7848"/>
    <n v="5.1899999999999995"/>
    <n v="8.5"/>
    <n v="21.95"/>
  </r>
  <r>
    <n v="1060"/>
    <s v="Kúpna zmluva č. OVO2-2019/000416-007"/>
    <n v="4108813"/>
    <s v="https://crz.gov.sk/4108813"/>
    <s v="https://www.crz.gov.sk/data/att/4108815_dokument1.pdf"/>
    <x v="39"/>
    <s v="Typ: HP  Business Slim Smartcard Keyboard SK - Z9H48AA,Popis: drôtová, USB, numerická klávesnica, čítačka smart kariet,Zaruka: neuvedené"/>
    <n v="37.17"/>
    <n v="210"/>
    <n v="7805.7000000000007"/>
    <n v="5.1899999999999995"/>
    <n v="8.5"/>
    <n v="21.95"/>
  </r>
  <r>
    <n v="1061"/>
    <s v="Kúpna zmluva č. OVO2-2019/000416-007"/>
    <n v="4108813"/>
    <s v="https://crz.gov.sk/4108813"/>
    <s v="https://www.crz.gov.sk/data/att/4108815_dokument1.pdf"/>
    <x v="65"/>
    <s v="Typ: RAPOO 8200M,Popis: bezdrôtové, citlivosť myši 1000 DPI, numerická klávesnica,Zaruka: neuvedené"/>
    <n v="32.35"/>
    <n v="380"/>
    <n v="12293"/>
    <n v="33.465000000000003"/>
    <n v="34.58"/>
    <n v="35.695"/>
  </r>
  <r>
    <n v="1062"/>
    <s v="Kúpna zmluva č. OVO2-2019/000416-007"/>
    <n v="4108813"/>
    <s v="https://crz.gov.sk/4108813"/>
    <s v="https://www.crz.gov.sk/data/att/4108815_dokument1.pdf"/>
    <x v="16"/>
    <s v="Typ: Patriot PSD44G240041,Typ: DDR4 4GB Frekv. 2400MHz,Zaruka: neuvedené"/>
    <n v="17.5"/>
    <n v="180"/>
    <n v="3150"/>
    <n v="22.082500000000003"/>
    <n v="31.15"/>
    <n v="48.125"/>
  </r>
  <r>
    <n v="1063"/>
    <s v="Kúpna zmluva č. OVO2-2019/000416-007"/>
    <n v="4108813"/>
    <s v="https://crz.gov.sk/4108813"/>
    <s v="https://www.crz.gov.sk/data/att/4108815_dokument1.pdf"/>
    <x v="14"/>
    <s v="Typ: Maxtor STSHX-M201TCBM,Vyhot.: externý, USB 3.0, kapacita 2TB rýchlosť 5400 rpm,Zaruka: neuvedené"/>
    <n v="68.900000000000006"/>
    <n v="470"/>
    <n v="32383.000000000004"/>
    <n v="55.5"/>
    <n v="91.88"/>
    <n v="148.36000000000001"/>
  </r>
  <r>
    <n v="1064"/>
    <s v="Kúpna zmluva č. OVO2-2019/000416-007"/>
    <n v="4108813"/>
    <s v="https://crz.gov.sk/4108813"/>
    <s v="https://www.crz.gov.sk/data/att/4108815_dokument1.pdf"/>
    <x v="14"/>
    <s v="Typ: WD WDBVBZ0120JCH-EESN,Vyhot.: externý, kapacita 2x 6TB, rýchlosť otáčok 5400 rpm,Zaruka: neuvedené"/>
    <n v="590"/>
    <n v="90"/>
    <n v="53100"/>
    <n v="55.5"/>
    <n v="91.88"/>
    <n v="148.36000000000001"/>
  </r>
  <r>
    <n v="1065"/>
    <s v="Kúpna zmluva č. OVO2-2019/000416-007"/>
    <n v="4108813"/>
    <s v="https://crz.gov.sk/4108813"/>
    <s v="https://www.crz.gov.sk/data/att/4108815_dokument1.pdf"/>
    <x v="14"/>
    <s v="Typ: WD WDBVBZ0080JCH-EESN,Vyhot.: externý, kapacita 2x4 TB, rýchlosť otáčok 5400 rpm,Zaruka: neuvedené"/>
    <n v="400"/>
    <n v="90"/>
    <n v="36000"/>
    <n v="55.5"/>
    <n v="91.88"/>
    <n v="148.36000000000001"/>
  </r>
  <r>
    <n v="1066"/>
    <s v="Kúpna zmluva č. OVO2-2019/000416-007"/>
    <n v="4108813"/>
    <s v="https://crz.gov.sk/4108813"/>
    <s v="https://www.crz.gov.sk/data/att/4108815_dokument1.pdf"/>
    <x v="14"/>
    <s v="Typ: WD WDBYFT0040BBK-WESN,Vyhot.: externý, USB 3.0, kapacita 4 TB, rýchlosť 5400 rpm,Zaruka: neuvedené"/>
    <n v="119"/>
    <n v="780"/>
    <n v="92820"/>
    <n v="55.5"/>
    <n v="91.88"/>
    <n v="148.36000000000001"/>
  </r>
  <r>
    <n v="1067"/>
    <s v="Kúpna zmluva č. OVO2-2019/000416-007"/>
    <n v="4108813"/>
    <s v="https://crz.gov.sk/4108813"/>
    <s v="https://www.crz.gov.sk/data/att/4108815_dokument1.pdf"/>
    <x v="14"/>
    <s v="Typ: WD WDBBGB0100HBK-EESN, Vyhot.: externý, USB 3.0, kapacita 10 TB, rýchlosť 5400 rpm,Zaruka: neuvedené"/>
    <n v="281.10000000000002"/>
    <n v="100"/>
    <n v="28110.000000000004"/>
    <n v="55.5"/>
    <n v="91.88"/>
    <n v="148.36000000000001"/>
  </r>
  <r>
    <n v="1068"/>
    <s v="Kúpna zmluva č. OVO2-2019/000416-007"/>
    <n v="4108813"/>
    <s v="https://crz.gov.sk/4108813"/>
    <s v="https://www.crz.gov.sk/data/att/4108815_dokument1.pdf"/>
    <x v="14"/>
    <s v="Typ: IBM 43X0802,Vyhot.: interný, 300GB 15K 3.5 SAS, 10K pre server IBM x3500, Machine type: 7977, Model: 12Y,Zaruka: neuvedené"/>
    <n v="169.75"/>
    <n v="23"/>
    <n v="3904.25"/>
    <n v="55.5"/>
    <n v="91.88"/>
    <n v="148.36000000000001"/>
  </r>
  <r>
    <n v="1069"/>
    <s v="Kúpna zmluva č. OVO2-2019/000416-007"/>
    <n v="4108813"/>
    <s v="https://crz.gov.sk/4108813"/>
    <s v="https://www.crz.gov.sk/data/att/4108815_dokument1.pdf"/>
    <x v="14"/>
    <s v="Typ: IBM 43X0802,Vyhot.: interný,300GB 15K 3.5 SAS, pre server IBM x3400, Machine type: 7976, Model: 6AG,Zaruka: neuvedené"/>
    <n v="169.7"/>
    <n v="6"/>
    <n v="1018.1999999999999"/>
    <n v="55.5"/>
    <n v="91.88"/>
    <n v="148.36000000000001"/>
  </r>
  <r>
    <n v="1070"/>
    <s v="Kúpna zmluva č. OVO2-2019/000416-007"/>
    <n v="4108813"/>
    <s v="https://crz.gov.sk/4108813"/>
    <s v="https://www.crz.gov.sk/data/att/4108815_dokument1.pdf"/>
    <x v="14"/>
    <s v="Typ: HP 454274-001,Vyhot.: interný, 450GB 15K 3.5 SAS pre server HP ProLiant ML150, G5,Zaruka: neuvedené"/>
    <n v="369.19"/>
    <n v="1"/>
    <n v="369.19"/>
    <n v="55.5"/>
    <n v="91.88"/>
    <n v="148.36000000000001"/>
  </r>
  <r>
    <n v="1071"/>
    <s v="Kúpna zmluva č. OVO2-2019/000416-007"/>
    <n v="4108813"/>
    <s v="https://crz.gov.sk/4108813"/>
    <s v="https://www.crz.gov.sk/data/att/4108815_dokument1.pdf"/>
    <x v="14"/>
    <s v="Typ: HP 432320-001,Vyhot.: interný pre server HP ProLiant rady 380, 146-GB 6G 10K 2.5 DP SAS HDD,G5,Zaruka: neuvedené"/>
    <n v="130.01"/>
    <n v="16"/>
    <n v="2080.16"/>
    <n v="55.5"/>
    <n v="91.88"/>
    <n v="148.36000000000001"/>
  </r>
  <r>
    <n v="1072"/>
    <s v="Kúpna zmluva č. OVO2-2019/000416-007"/>
    <n v="4108813"/>
    <s v="https://crz.gov.sk/4108813"/>
    <s v="https://www.crz.gov.sk/data/att/4108815_dokument1.pdf"/>
    <x v="14"/>
    <s v="Typ: HP AW555A,Vyhot.:  interný 3,5“; 2TB; SAS MDL, pre HP STORAGE Works MSA2000, G2,Zaruka: neuvedené"/>
    <n v="346.1"/>
    <n v="4"/>
    <n v="1384.4"/>
    <n v="55.5"/>
    <n v="91.88"/>
    <n v="148.36000000000001"/>
  </r>
  <r>
    <n v="1073"/>
    <s v="Kúpna zmluva č. OVO2-2019/000416-007"/>
    <n v="4108813"/>
    <s v="https://crz.gov.sk/4108813"/>
    <s v="https://www.crz.gov.sk/data/att/4108815_dokument1.pdf"/>
    <x v="14"/>
    <s v="Typ: HP AW556A,Vyhot.: interný 3,5“; 2TB; SATA MDL, pre HP STORAGE Works MSA2000, G2,Zaruka: neuvedené"/>
    <n v="307.3"/>
    <n v="4"/>
    <n v="1229.2"/>
    <n v="55.5"/>
    <n v="91.88"/>
    <n v="148.36000000000001"/>
  </r>
  <r>
    <n v="1074"/>
    <s v="Kúpna zmluva č. OVO2-2019/000416-007"/>
    <n v="4108813"/>
    <s v="https://crz.gov.sk/4108813"/>
    <s v="https://www.crz.gov.sk/data/att/4108815_dokument1.pdf"/>
    <x v="14"/>
    <s v="Typ: Seagate ST1000LM048,Vyhot.: interný 2,5“, s rozhraním SATAIII, kapacitou 1 TB, s rýchlosťou 5400ot/min, s vyrovnávacou pamäťou 128MB,Zaruka: neuvedené"/>
    <n v="53.9"/>
    <n v="180"/>
    <n v="9702"/>
    <n v="55.5"/>
    <n v="91.88"/>
    <n v="148.36000000000001"/>
  </r>
  <r>
    <n v="1075"/>
    <s v="Kúpna zmluva č. OVO2-2019/000416-007"/>
    <n v="4108813"/>
    <s v="https://crz.gov.sk/4108813"/>
    <s v="https://www.crz.gov.sk/data/att/4108815_dokument1.pdf"/>
    <x v="14"/>
    <s v="Typ: Seagate ST2000LM015,Vyhot.:  interný 2,5“ s rozhraním SATAIII, kapacitou 2 TB, s rýchlosťou 5400ot/min, s vyrovnávacou pamäťou 128MB,Zaruka: neuvedené"/>
    <n v="90"/>
    <n v="180"/>
    <n v="16200"/>
    <n v="55.5"/>
    <n v="91.88"/>
    <n v="148.36000000000001"/>
  </r>
  <r>
    <n v="1076"/>
    <s v="Kúpna zmluva č. OVO2-2019/000416-007"/>
    <n v="4108813"/>
    <s v="https://crz.gov.sk/4108813"/>
    <s v="https://www.crz.gov.sk/data/att/4108815_dokument1.pdf"/>
    <x v="14"/>
    <s v="Typ: Seagate ST1000DM010,Vyhot.:  interný 3,5“ s rozhraním SATAIII, kapacitou 1 TB, s rýchlosťou 7200ot/min, s vyrovnávacou pamäťou min. 64MB,Zaruka: neuvedené"/>
    <n v="47.9"/>
    <n v="250"/>
    <n v="11975"/>
    <n v="55.5"/>
    <n v="91.88"/>
    <n v="148.36000000000001"/>
  </r>
  <r>
    <n v="1077"/>
    <s v="Kúpna zmluva č. OVO2-2019/000416-007"/>
    <n v="4108813"/>
    <s v="https://crz.gov.sk/4108813"/>
    <s v="https://www.crz.gov.sk/data/att/4108815_dokument1.pdf"/>
    <x v="14"/>
    <s v="Typ: Seagate ST2000DM008, Vyhot.:  interný 3,5“ s rozhraním SATAIII, kapacitou 2 TB, s rýchlosťou 7200ot/min, s vyrovnávacou pamäťou 256MB,Zaruka: neuvedené"/>
    <n v="68"/>
    <n v="200"/>
    <n v="13600"/>
    <n v="55.5"/>
    <n v="91.88"/>
    <n v="148.36000000000001"/>
  </r>
  <r>
    <n v="1078"/>
    <s v="Kúpna zmluva č. OVO2-2019/000416-007"/>
    <n v="4108813"/>
    <s v="https://crz.gov.sk/4108813"/>
    <s v="https://www.crz.gov.sk/data/att/4108815_dokument1.pdf"/>
    <x v="14"/>
    <s v="Typ: Toshiba, HDWD130UZSVA,Vyhot.: interný 3,5“ s rozhraním SATAIII, kapacitou 3 TB, s rýchlosťou 7200ot/min, s vyrovnávacou pamäťou 64MB,Zaruka: neuvedené"/>
    <n v="79.7"/>
    <n v="64"/>
    <n v="5100.8"/>
    <n v="55.5"/>
    <n v="91.88"/>
    <n v="148.36000000000001"/>
  </r>
  <r>
    <n v="1079"/>
    <s v="Kúpna zmluva č. OVO2-2019/000416-007"/>
    <n v="4108813"/>
    <s v="https://crz.gov.sk/4108813"/>
    <s v="https://www.crz.gov.sk/data/att/4108815_dokument1.pdf"/>
    <x v="14"/>
    <s v="Typ: Seagate ST4000VX007,Vyhot.:  interný 3,5“ s rozhraním SATAIII, kapacitou 4 TB, s rýchlosťou 5900ot/min, s vyrovnávacou pamäťou 64MB,Zaruka: neuvedené"/>
    <n v="120.3"/>
    <n v="280"/>
    <n v="33684"/>
    <n v="55.5"/>
    <n v="91.88"/>
    <n v="148.36000000000001"/>
  </r>
  <r>
    <n v="1080"/>
    <s v="Kúpna zmluva č. OVO2-2019/000416-007"/>
    <n v="4108813"/>
    <s v="https://crz.gov.sk/4108813"/>
    <s v="https://www.crz.gov.sk/data/att/4108815_dokument1.pdf"/>
    <x v="14"/>
    <s v="Typ: Seagate ST4000NE0025,Vyhot.: interný 3,5“ s rozhraním SATAIII, kapacitou 4 TB, s rýchlosťou 7200ot/min, s vyrovnávacou pamäťou 128MB,Zaruka: neuvedené"/>
    <n v="189.9"/>
    <n v="50"/>
    <n v="9495"/>
    <n v="55.5"/>
    <n v="91.88"/>
    <n v="148.36000000000001"/>
  </r>
  <r>
    <n v="1081"/>
    <s v="Kúpna zmluva č. OVO2-2019/000416-007"/>
    <n v="4108813"/>
    <s v="https://crz.gov.sk/4108813"/>
    <s v="https://www.crz.gov.sk/data/att/4108815_dokument1.pdf"/>
    <x v="14"/>
    <s v="Typ: WD WD40PURZ,Vyhot.: interný 3,5“ s rozhraním SATAIII, kapacitou 4TB, s rýchlosťou 5400ot/min, s vyrovnávacou pamäťou 64MB,Zaruka: neuvedené"/>
    <n v="122.5"/>
    <n v="210"/>
    <n v="25725"/>
    <n v="55.5"/>
    <n v="91.88"/>
    <n v="148.36000000000001"/>
  </r>
  <r>
    <n v="1082"/>
    <s v="Kúpna zmluva č. OVO2-2019/000416-007"/>
    <n v="4108813"/>
    <s v="https://crz.gov.sk/4108813"/>
    <s v="https://www.crz.gov.sk/data/att/4108815_dokument1.pdf"/>
    <x v="14"/>
    <s v="Typ: Seagate ST4000NM0035,Vyhot.: interný 3,5“ s rozhraním SATAIII, kapacitou 4 TB, s rýchlosťou 7200ot/min, s vyrovnávacou pamäťou 128MB,Zaruka: neuvedené"/>
    <n v="187"/>
    <n v="102"/>
    <n v="19074"/>
    <n v="55.5"/>
    <n v="91.88"/>
    <n v="148.36000000000001"/>
  </r>
  <r>
    <n v="1083"/>
    <s v="Kúpna zmluva č. OVO2-2019/000416-007"/>
    <n v="4108813"/>
    <s v="https://crz.gov.sk/4108813"/>
    <s v="https://www.crz.gov.sk/data/att/4108815_dokument1.pdf"/>
    <x v="14"/>
    <s v="Typ: Toshiba DT01ACA050,Vyhot.: interný 3,5“ s rozhraním SATAIII, kapacitou 500 GB, s rýchlosťou 7200ot/min, s vyrovnávacou pamäťou 32MB,zaruka: neuvedené"/>
    <n v="44"/>
    <n v="240"/>
    <n v="10560"/>
    <n v="55.5"/>
    <n v="91.88"/>
    <n v="148.36000000000001"/>
  </r>
  <r>
    <n v="1084"/>
    <s v="Kúpna zmluva č. OVO2-2019/000416-007"/>
    <n v="4108813"/>
    <s v="https://crz.gov.sk/4108813"/>
    <s v="https://www.crz.gov.sk/data/att/4108815_dokument1.pdf"/>
    <x v="14"/>
    <s v="Typ: HP WD10JUCT, Vyhot.: k interný 2,5“ s rozhraním SATAII, kapacitou 1TB,s rýchlosťou 5400ot/min, s vyrovnávacou pamäťou 16MB,Zaruka: neuvedené"/>
    <n v="82"/>
    <n v="500"/>
    <n v="41000"/>
    <n v="55.5"/>
    <n v="91.88"/>
    <n v="148.36000000000001"/>
  </r>
  <r>
    <n v="1085"/>
    <s v="Kúpna zmluva č. OVO2-2019/000416-007"/>
    <n v="4108813"/>
    <s v="https://crz.gov.sk/4108813"/>
    <s v="https://www.crz.gov.sk/data/att/4108815_dokument1.pdf"/>
    <x v="14"/>
    <s v="Typ: A-DATA  ASU800SS-256GT-C,Vyhot.: k interný 2,5“ s rozhraním SATAIII, kapacitou 256 GB, Technologia disku SSD,Zaruka: neuvedené"/>
    <n v="45.84"/>
    <n v="400"/>
    <n v="18336"/>
    <n v="55.5"/>
    <n v="91.88"/>
    <n v="148.36000000000001"/>
  </r>
  <r>
    <n v="1086"/>
    <s v="Kúpna zmluva č. OVO2-2019/000416-007"/>
    <n v="4108813"/>
    <s v="https://crz.gov.sk/4108813"/>
    <s v="https://www.crz.gov.sk/data/att/4108815_dokument1.pdf"/>
    <x v="14"/>
    <s v="Typ: WD WDS250G2B0A,Vyhot.:  interný 2,5“ s rozhraním SATAIII, kapacitou 250 GB, Technologia disku SSD,Zaruka: neuvedené"/>
    <n v="54.03"/>
    <n v="180"/>
    <n v="9725.4"/>
    <n v="55.5"/>
    <n v="91.88"/>
    <n v="148.36000000000001"/>
  </r>
  <r>
    <n v="1087"/>
    <s v="Kúpna zmluva č. OVO2-2019/000416-007"/>
    <n v="4108813"/>
    <s v="https://crz.gov.sk/4108813"/>
    <s v="https://www.crz.gov.sk/data/att/4108815_dokument1.pdf"/>
    <x v="14"/>
    <s v="Typ: WD WDS500G2B0A,Vyhot.: interný 2,5“ s rozhraním SATAIII, kapacitou 500 GB, Technologia disku SSD,Zaruka: neuvedené"/>
    <n v="71.099999999999994"/>
    <n v="100"/>
    <n v="7109.9999999999991"/>
    <n v="55.5"/>
    <n v="91.88"/>
    <n v="148.36000000000001"/>
  </r>
  <r>
    <n v="1088"/>
    <s v="Kúpna zmluva č. OVO2-2019/000416-007"/>
    <n v="4108813"/>
    <s v="https://crz.gov.sk/4108813"/>
    <s v="https://www.crz.gov.sk/data/att/4108815_dokument1.pdf"/>
    <x v="16"/>
    <s v="Typ: Patriot PSD22G8002S,Vyhot.: DDR2 kapacita 2GB Frekv. 800Mhz,Zaruka: neuvedené"/>
    <n v="14.9"/>
    <n v="43"/>
    <n v="640.70000000000005"/>
    <n v="22.082500000000003"/>
    <n v="31.15"/>
    <n v="48.125"/>
  </r>
  <r>
    <n v="1089"/>
    <s v="Kúpna zmluva č. OVO2-2019/000416-007"/>
    <n v="4108813"/>
    <s v="https://crz.gov.sk/4108813"/>
    <s v="https://www.crz.gov.sk/data/att/4108815_dokument1.pdf"/>
    <x v="16"/>
    <s v="Typ: Kingston KVR13N9S8/4,Vyhot.: DDR3 kapacita 4GB Frekv. 1333MHz,Zaruka: neuvedené"/>
    <n v="22.6"/>
    <n v="450"/>
    <n v="10170"/>
    <n v="22.082500000000003"/>
    <n v="31.15"/>
    <n v="48.125"/>
  </r>
  <r>
    <n v="1090"/>
    <s v="Kúpna zmluva č. OVO2-2019/000416-007"/>
    <n v="4108813"/>
    <s v="https://crz.gov.sk/4108813"/>
    <s v="https://www.crz.gov.sk/data/att/4108815_dokument1.pdf"/>
    <x v="16"/>
    <s v="Typ: Kingston KVR16LN11/4,Vyhot.: DDR3 kapacita 4GB Frekv. 1600MHz,Zaruka: neuvedené"/>
    <n v="22.6"/>
    <n v="430"/>
    <n v="9718"/>
    <n v="22.082500000000003"/>
    <n v="31.15"/>
    <n v="48.125"/>
  </r>
  <r>
    <n v="1091"/>
    <s v="Kúpna zmluva č. OVO2-2019/000416-007"/>
    <n v="4108813"/>
    <s v="https://crz.gov.sk/4108813"/>
    <s v="https://www.crz.gov.sk/data/att/4108815_dokument1.pdf"/>
    <x v="16"/>
    <s v="Typ: Kingston KVR13S9S8/4,Vyhot.: DDR3 kapacita 4GB Frekv. 1333MHz,Zaruka: neuvedené"/>
    <n v="22.6"/>
    <n v="180"/>
    <n v="4068.0000000000005"/>
    <n v="22.082500000000003"/>
    <n v="31.15"/>
    <n v="48.125"/>
  </r>
  <r>
    <n v="1092"/>
    <s v="Kúpna zmluva č. OVO2-2019/000416-007"/>
    <n v="4108813"/>
    <s v="https://crz.gov.sk/4108813"/>
    <s v="https://www.crz.gov.sk/data/att/4108815_dokument1.pdf"/>
    <x v="32"/>
    <s v="Typ: Kingston DT100G3/16GB,Vyhot.: kapacita 16GB, USB 3.0,Zaruka: neuvedené"/>
    <n v="3.37"/>
    <n v="1900"/>
    <n v="6403"/>
    <n v="4.9000000000000004"/>
    <n v="8.4"/>
    <n v="14"/>
  </r>
  <r>
    <n v="1093"/>
    <s v="Kúpna zmluva č. OVO2-2019/000416-007"/>
    <n v="4108813"/>
    <s v="https://crz.gov.sk/4108813"/>
    <s v="https://www.crz.gov.sk/data/att/4108815_dokument1.pdf"/>
    <x v="32"/>
    <s v="Typ: Kingston  DT100G3/32GB,Vyhot.: kapacita 32GB, USB 3.0,Zaruka: neuvedené"/>
    <n v="4.68"/>
    <n v="1200"/>
    <n v="5616"/>
    <n v="4.9000000000000004"/>
    <n v="8.4"/>
    <n v="14"/>
  </r>
  <r>
    <n v="1094"/>
    <s v="Kúpna zmluva č. OVO2-2019/000416-007"/>
    <n v="4108813"/>
    <s v="https://crz.gov.sk/4108813"/>
    <s v="https://www.crz.gov.sk/data/att/4108815_dokument1.pdf"/>
    <x v="32"/>
    <s v="Typ: GOODDRIVE UTS3-0640K0R11,Vyhot.: kapacita 64GB, USB 3.0,Zaruka: neuvedené"/>
    <n v="7.66"/>
    <n v="1000"/>
    <n v="7660"/>
    <n v="4.9000000000000004"/>
    <n v="8.4"/>
    <n v="14"/>
  </r>
  <r>
    <n v="1095"/>
    <s v="Kúpna zmluva č. OVO2-2019/000416-007"/>
    <n v="4108813"/>
    <s v="https://crz.gov.sk/4108813"/>
    <s v="https://www.crz.gov.sk/data/att/4108815_dokument1.pdf"/>
    <x v="32"/>
    <s v="Typ: Kingston DT100G3/128GB,Vyhot.: kapacita 128GB, USB 3.0,Zaruka: neuvedené "/>
    <n v="17.07"/>
    <n v="300"/>
    <n v="5121"/>
    <n v="4.9000000000000004"/>
    <n v="8.4"/>
    <n v="14"/>
  </r>
  <r>
    <n v="1096"/>
    <s v="Kúpna zmluva č. OVO2-2019/000416-007"/>
    <n v="4108813"/>
    <s v="https://crz.gov.sk/4108813"/>
    <s v="https://www.crz.gov.sk/data/att/4108815_dokument1.pdf"/>
    <x v="2"/>
    <s v="Typ: Samsung LS24F350FHUXEN,Velkost: 24&quot;,Rozlisenie: 1920x1080,Velkost: LCD PLS LED,Jas: 250cd/m2,Odozva: 4ms,Zaruka: neuvedené "/>
    <n v="137.69999999999999"/>
    <n v="360"/>
    <n v="49571.999999999993"/>
    <n v="141.67500000000001"/>
    <n v="194"/>
    <n v="266.75"/>
  </r>
  <r>
    <n v="1097"/>
    <s v="Kúpna zmluva č. OVO2-2018/000019-029"/>
    <n v="3851007"/>
    <s v="https://crz.gov.sk/3851007"/>
    <s v="https://www.crz.gov.sk/data/att/3851010_dokument1.pdf"/>
    <x v="0"/>
    <s v="Typ: HP EliteDesk 800 G4 Tower,Proc: passmark 11937,RAM: 16GB,Disk: SSD 256GB + HDD 1TB 7200rpm,VGA: nezdiel AMD Radeon RX850 4GB RAM passmark 4500,Zdroj: 400W,Zaruka: neuvedené "/>
    <n v="1660"/>
    <n v="64"/>
    <n v="106240"/>
    <n v="680"/>
    <n v="991"/>
    <n v="1485.8333333333335"/>
  </r>
  <r>
    <n v="1098"/>
    <s v="Kúpna zmluva č. OVO2-2018/000019-030"/>
    <n v="3851007"/>
    <s v="https://crz.gov.sk/3851007"/>
    <s v="https://www.crz.gov.sk/data/att/3851010_dokument1.pdf"/>
    <x v="0"/>
    <s v="Typ: HP EliteDesk 800 G4 Tower,Proc: passmark 11937,RAM: 32GB,Disk: SSD 256GB + HDD 1TB 7200rpm,VGA: nezdiel,Zdroj: 450W,Zaruka: neuvedené "/>
    <n v="1930"/>
    <n v="7"/>
    <n v="13510"/>
    <n v="680"/>
    <n v="991"/>
    <n v="1485.8333333333335"/>
  </r>
  <r>
    <n v="1099"/>
    <s v="Kúpna zmluva č. OVO2-2018/000019-031"/>
    <n v="3851007"/>
    <s v="https://crz.gov.sk/3851007"/>
    <s v="https://www.crz.gov.sk/data/att/3851010_dokument1.pdf"/>
    <x v="0"/>
    <s v="Typ: HP EliteDesk 800 G4 SFF,Proc: passmark 11937,RAM: 16GB DDR4 2400MHz rozšíriteľné na 64GB,Disk: SSD 256GB + HDD 1TBc7200rpm,VGA: nezdiel AMD Radeon RX850 4GB RAM passmark 4500,Zdroj: 450W,Zaruka: neuvedené "/>
    <n v="1345"/>
    <n v="59"/>
    <n v="79355"/>
    <n v="680"/>
    <n v="991"/>
    <n v="1485.8333333333335"/>
  </r>
  <r>
    <n v="1100"/>
    <s v="Kúpna zmluva č. OVO2-2018/000019-032"/>
    <n v="3851007"/>
    <s v="https://crz.gov.sk/3851007"/>
    <s v="https://www.crz.gov.sk/data/att/3851010_dokument1.pdf"/>
    <x v="0"/>
    <s v="Typ: HP EliteOne 800 G4 All-in-One,RAM: 8GB DDR4 2400MHz rozšíriteľné na 32GB,Disk: SSD 512GB,VGA: Zdiel,Zdroj: 150W,Zaruka: neuvedené "/>
    <n v="1560"/>
    <n v="18"/>
    <n v="28080"/>
    <n v="680"/>
    <n v="991"/>
    <n v="1485.8333333333335"/>
  </r>
  <r>
    <n v="1101"/>
    <s v="Kúpna zmluva č. OVO2-2018/000019-033"/>
    <n v="3851007"/>
    <s v="https://crz.gov.sk/3851007"/>
    <s v="https://www.crz.gov.sk/data/att/3851010_dokument1.pdf"/>
    <x v="0"/>
    <s v="Typ: HP EliteDesk 800 G4 WKS Tower,RAM: 8GB DDR4 2400MHz rozšíriteľné na 64GB,Disk: SSD 256GB + HDD 1TB 7200rpm,VGA: Zdiel,Zdroj: 450W,Zaruka: neuvedené "/>
    <n v="1620"/>
    <n v="37"/>
    <n v="59940"/>
    <n v="680"/>
    <n v="991"/>
    <n v="1485.8333333333335"/>
  </r>
  <r>
    <n v="1102"/>
    <s v="Kúpna zmluva č. OVO2-2018/000019-034"/>
    <n v="3851007"/>
    <s v="https://crz.gov.sk/3851007"/>
    <s v="https://www.crz.gov.sk/data/att/3851010_dokument1.pdf"/>
    <x v="0"/>
    <s v="Typ: HP ProDesk 400 G4 Mini,Proc.:Intel Core™ i3-7100T 3,1 GHz,Disk: bez,RAM:  4GB,VGA: zdiel,Zaruka: neuvedené "/>
    <n v="625"/>
    <n v="2"/>
    <n v="1250"/>
    <n v="680"/>
    <n v="991"/>
    <n v="1485.8333333333335"/>
  </r>
  <r>
    <n v="1103"/>
    <s v="Kúpna zmluva č. OVO2-2018/000019-035"/>
    <n v="3851007"/>
    <s v="https://crz.gov.sk/3851007"/>
    <s v="https://www.crz.gov.sk/data/att/3851010_dokument1.pdf"/>
    <x v="16"/>
    <s v="Typ:HP P/N: 3TK83AA,Vyhot.:16GB DDR4 2400MHz,Zaruka:Neuvedené"/>
    <n v="349"/>
    <n v="51"/>
    <n v="17799"/>
    <n v="22.082500000000003"/>
    <n v="31.15"/>
    <n v="48.125"/>
  </r>
  <r>
    <n v="1104"/>
    <s v="Kúpna zmluva č. OVO2-2018/000019-036"/>
    <n v="3851007"/>
    <s v="https://crz.gov.sk/3851007"/>
    <s v="https://www.crz.gov.sk/data/att/3851010_dokument1.pdf"/>
    <x v="2"/>
    <s v="Typ: HP EliteDisplay E243i,Velkost: 24&quot;,Rozlisenie: 1920x1080,Velkost:LED,Jas: 300cm/m2,Odozva: 5ms,Zaruka: neuvedené "/>
    <n v="210"/>
    <n v="109"/>
    <n v="22890"/>
    <n v="141.67500000000001"/>
    <n v="194"/>
    <n v="266.75"/>
  </r>
  <r>
    <n v="1105"/>
    <s v="Kúpna zmluva č. OVO2-2018/000019-037"/>
    <n v="3851007"/>
    <s v="https://crz.gov.sk/3851007"/>
    <s v="https://www.crz.gov.sk/data/att/3851010_dokument1.pdf"/>
    <x v="2"/>
    <s v="Typ: HP EliteDisplay E273q,Velkost: 27&quot;,Rozlisenie: 2560x1440,Velkost:LED,Jas: 350cm/m2,Odozva: 5ms,Zaruka: neuvedené "/>
    <n v="360"/>
    <n v="82"/>
    <n v="29520"/>
    <n v="141.67500000000001"/>
    <n v="194"/>
    <n v="266.75"/>
  </r>
  <r>
    <n v="1106"/>
    <s v="Kúpna zmluva č. 72/OI/2020"/>
    <n v="5095443"/>
    <s v="https://crz.gov.sk/zmluva/5095443"/>
    <s v="https://www.crz.gov.sk/data/att/2499690.pdf"/>
    <x v="3"/>
    <s v="Typ: OKI MC873dnv,Technologia: laser, Farba: ano, Fromát tlače: A3, Rozlisenie 600 dpi, Vstupná kapacita zásobníka: 2005 listov, Rýchlosť tlače: 35 listov/minúta, Zaruka: 3"/>
    <n v="2501"/>
    <n v="46"/>
    <n v="115046"/>
    <n v="229.78"/>
    <n v="424.2"/>
    <n v="1030.3"/>
  </r>
  <r>
    <n v="1107"/>
    <s v="Kúpna zmluva"/>
    <n v="4241268"/>
    <s v="https://crz.gov.sk/4241268"/>
    <s v="https://www.crz.gov.sk/data/att/4241275_dokument1.pdf, https://www.crz.gov.sk/data/att/4241279_dokument1.pdf"/>
    <x v="1"/>
    <s v="Typ: HP Probook 440 G6, Proc.: 4-jadro Intel i5-8265U, 6mb cache,RAM: 8GB DDR4 2400 rozšíriteľná na 16GB,Disk: SSD 512GB,VGA: Zdiel,Disp: FHD, Zaruka: 3"/>
    <n v="1263"/>
    <n v="50"/>
    <n v="63150"/>
    <n v="783.15"/>
    <n v="1196.3"/>
    <n v="1455.5"/>
  </r>
  <r>
    <n v="1108"/>
    <s v="Kúpna zmluva"/>
    <n v="4241268"/>
    <s v="https://crz.gov.sk/4241268"/>
    <s v="https://www.crz.gov.sk/data/att/4241275_dokument1.pdf, https://www.crz.gov.sk/data/att/4241279_dokument1.pdf"/>
    <x v="2"/>
    <s v="Typ: HP EliteDisplay E243d,Velkost: 23,8&quot;,Rozlisenie: 1920x1080,Jas: 250cd/m2,Odozva: 5ms,Zaruka: neuvedené "/>
    <n v="561"/>
    <n v="50"/>
    <n v="28050"/>
    <n v="141.67500000000001"/>
    <n v="194"/>
    <n v="266.75"/>
  </r>
  <r>
    <n v="1109"/>
    <s v="Kúpna zmluva"/>
    <n v="4241268"/>
    <s v="https://crz.gov.sk/4241268"/>
    <s v="https://www.crz.gov.sk/data/att/4241275_dokument1.pdf, https://www.crz.gov.sk/data/att/4241279_dokument1.pdf"/>
    <x v="12"/>
    <s v="Typ: iPad Pro Wi-Fi + Cellular,Proc.:M12,RAM:4GB,Kapacita:512GB,Velkost:11&quot;, Rozlisenie 2388x1668,Batéria:7800mAh,Zaruka:2"/>
    <n v="2208.33"/>
    <n v="5"/>
    <n v="11041.65"/>
    <n v="307.64999999999998"/>
    <n v="533.63"/>
    <n v="761.32"/>
  </r>
  <r>
    <n v="1110"/>
    <s v="Kúpna zmluva"/>
    <n v="4241268"/>
    <s v="https://crz.gov.sk/4241268"/>
    <s v="https://www.crz.gov.sk/data/att/4241275_dokument1.pdf, https://www.crz.gov.sk/data/att/4241279_dokument1.pdf"/>
    <x v="0"/>
    <s v="Typ: HP EliteOne 800 G5, Proc.: Intel i5 9500, 6 jadier 9mb cache Frekv. 3.0GHz, RAM: 8GB, Disk: SSD 512GB,VGA: Zdiel,Disp.: 23.8&quot; FHD, Zaruka: 3"/>
    <n v="1615.5"/>
    <n v="50"/>
    <n v="80775"/>
    <n v="680"/>
    <n v="991"/>
    <n v="1485.8333333333335"/>
  </r>
  <r>
    <n v="1111"/>
    <s v="Kúpna zmluva"/>
    <n v="4241268"/>
    <s v="https://crz.gov.sk/4241268"/>
    <s v="https://www.crz.gov.sk/data/att/4241275_dokument1.pdf, https://www.crz.gov.sk/data/att/4241279_dokument1.pdf"/>
    <x v="3"/>
    <s v="Typ: HP LaserJet Pro M203dn,Formát:A4 A5 A6,Rýchlosť tlače: 28 listov/minúta,Rozlisenie 1200 dpi,Zaruka:2"/>
    <n v="222.5"/>
    <n v="30"/>
    <n v="6675"/>
    <n v="229.78"/>
    <n v="424.2"/>
    <n v="1030.3"/>
  </r>
  <r>
    <n v="1112"/>
    <s v="Kúpna zmluva"/>
    <n v="4241268"/>
    <s v="https://crz.gov.sk/4241268"/>
    <s v="https://www.crz.gov.sk/data/att/4241275_dokument1.pdf, https://www.crz.gov.sk/data/att/4241279_dokument1.pdf"/>
    <x v="3"/>
    <s v="Typ:HP LaserJet Enterprise MFP M775dn,Technologia: laser, Farba: ano, Fromát tlače: A3, Rozlisenie 600 dpi, Vstupná kapacita zásobníka: 250 listov, Rýchlosť tlače: 30 listov/minúta, Zaruka: neuvedené"/>
    <n v="4405"/>
    <n v="45"/>
    <n v="198225"/>
    <n v="229.78"/>
    <n v="424.2"/>
    <n v="1030.3"/>
  </r>
  <r>
    <n v="1113"/>
    <s v="KÚPNA  ZMLUVA č. 149/OI/2020"/>
    <n v="5254584"/>
    <s v="https://crz.gov.sk/zmluva/5254584"/>
    <s v="https://www.crz.gov.sk/data/att/2589256.pdf, https://www.crz.gov.sk/data/att/2589296.pdf"/>
    <x v="23"/>
    <s v="Typ: neuvedené,Rozhranie: USB,Rychlost: 1Gbps,Zaruka: neuvedené"/>
    <n v="14.28"/>
    <n v="92"/>
    <n v="1313.76"/>
    <n v="9.8249999999999993"/>
    <n v="21.14"/>
    <n v="248.75"/>
  </r>
  <r>
    <n v="1114"/>
    <s v="KÚPNA  ZMLUVA č. 149/OI/2020"/>
    <n v="5254584"/>
    <s v="https://crz.gov.sk/zmluva/5254584"/>
    <s v="https://www.crz.gov.sk/data/att/2589256.pdf, https://www.crz.gov.sk/data/att/2589296.pdf"/>
    <x v="31"/>
    <s v="Typ: neuvedené,Vyhot,: bal. 305m,Spec.: CAT5e FTP,Zaruka: neuvedené"/>
    <n v="99.97"/>
    <n v="12"/>
    <n v="1199.6399999999999"/>
    <n v="89.477499999999992"/>
    <n v="121"/>
    <n v="139.9025"/>
  </r>
  <r>
    <n v="1115"/>
    <s v="KÚPNA  ZMLUVA č. 149/OI/2020"/>
    <n v="5254584"/>
    <s v="https://crz.gov.sk/zmluva/5254584"/>
    <s v="https://www.crz.gov.sk/data/att/2589256.pdf, https://www.crz.gov.sk/data/att/2589296.pdf"/>
    <x v="31"/>
    <s v="Typ: neuvedené,Vyhot,: bal. 305m,Spec.: CAT5e UTP,Zaruka: neuvedené"/>
    <n v="106.24"/>
    <n v="7"/>
    <n v="743.68"/>
    <n v="89.477499999999992"/>
    <n v="121"/>
    <n v="139.9025"/>
  </r>
  <r>
    <n v="1116"/>
    <s v="KÚPNA  ZMLUVA č. 149/OI/2020"/>
    <n v="5254584"/>
    <s v="https://crz.gov.sk/zmluva/5254584"/>
    <s v="https://www.crz.gov.sk/data/att/2589256.pdf, https://www.crz.gov.sk/data/att/2589296.pdf"/>
    <x v="34"/>
    <s v="Typ: neuvedené,Spec.: neuvedené,Rozmer: 1U,PocetZasuviek: 24,Zaruka: neuvedené"/>
    <n v="43.3"/>
    <n v="2"/>
    <n v="86.6"/>
    <n v="40.5"/>
    <n v="43.39"/>
    <n v="69.25"/>
  </r>
  <r>
    <n v="1117"/>
    <s v="KÚPNA  ZMLUVA č. 149/OI/2020"/>
    <n v="5254584"/>
    <s v="https://crz.gov.sk/zmluva/5254584"/>
    <s v="https://www.crz.gov.sk/data/att/2589256.pdf, https://www.crz.gov.sk/data/att/2589296.pdf"/>
    <x v="11"/>
    <s v="Typ: 650VA,Spinanie: line-interactive,Vykon: 360W,Vyhot.: na stôl,USB,Zaruka: neuvedené"/>
    <n v="50.12"/>
    <n v="27"/>
    <n v="1353.24"/>
    <n v="59.227499999999999"/>
    <n v="332.14"/>
    <n v="1331.8050000000001"/>
  </r>
  <r>
    <n v="1118"/>
    <s v="KÚPNA  ZMLUVA č. 149/OI/2020"/>
    <n v="5254584"/>
    <s v="https://crz.gov.sk/zmluva/5254584"/>
    <s v="https://www.crz.gov.sk/data/att/2589256.pdf, https://www.crz.gov.sk/data/att/2589296.pdf"/>
    <x v="11"/>
    <s v="Typ: 650VA,Spinanie: line-interactive,Vykon: 360W,Vyhot.: na stôl,USB,Zaruka: neuvedené"/>
    <n v="73.260000000000005"/>
    <n v="3"/>
    <n v="219.78000000000003"/>
    <n v="59.227499999999999"/>
    <n v="332.14"/>
    <n v="1331.8050000000001"/>
  </r>
  <r>
    <n v="1119"/>
    <s v="KÚPNA  ZMLUVA č. 149/OI/2020"/>
    <n v="5254584"/>
    <s v="https://crz.gov.sk/zmluva/5254584"/>
    <s v="https://www.crz.gov.sk/data/att/2589256.pdf, https://www.crz.gov.sk/data/att/2589296.pdf"/>
    <x v="11"/>
    <s v="Typ: 1000VA,Spinanie: line-interactive,Vykon: 600W,Vyhot.: na stôl,USB,Zaruka: neuvedené"/>
    <n v="109.92"/>
    <n v="20"/>
    <n v="2198.4"/>
    <n v="59.227499999999999"/>
    <n v="332.14"/>
    <n v="1331.8050000000001"/>
  </r>
  <r>
    <n v="1120"/>
    <s v="KÚPNA  ZMLUVA č. 149/OI/2020"/>
    <n v="5254584"/>
    <s v="https://crz.gov.sk/zmluva/5254584"/>
    <s v="https://www.crz.gov.sk/data/att/2589256.pdf, https://www.crz.gov.sk/data/att/2589296.pdf"/>
    <x v="38"/>
    <s v="Typ: neuvedené,Technol.: optická drôtová,Rozlisenie: 1000dpi,Rozhranie: USB,Zaruka: neuvedené"/>
    <n v="2.73"/>
    <n v="60"/>
    <n v="163.80000000000001"/>
    <n v="4.25"/>
    <n v="6.12"/>
    <n v="13.55"/>
  </r>
  <r>
    <n v="1121"/>
    <s v="KÚPNA  ZMLUVA č. 149/OI/2020"/>
    <n v="5254584"/>
    <s v="https://crz.gov.sk/zmluva/5254584"/>
    <s v="https://www.crz.gov.sk/data/att/2589256.pdf, https://www.crz.gov.sk/data/att/2589296.pdf"/>
    <x v="38"/>
    <s v="Typ: neuvedené,Technol.: optická bezdrôtová,Rozlisenie: 1200dpi,Rozhranie: USB,Zaruka: neuvedené"/>
    <n v="6.12"/>
    <n v="160"/>
    <n v="979.2"/>
    <n v="4.25"/>
    <n v="6.12"/>
    <n v="13.55"/>
  </r>
  <r>
    <n v="1122"/>
    <s v="KÚPNA  ZMLUVA č. 149/OI/2020"/>
    <n v="5254584"/>
    <s v="https://crz.gov.sk/zmluva/5254584"/>
    <s v="https://www.crz.gov.sk/data/att/2589256.pdf, https://www.crz.gov.sk/data/att/2589296.pdf"/>
    <x v="38"/>
    <s v="Typ: neuvedené,Technol.: optická drôtová,Rozlisenie: 1200dpi,Rozhranie: USB,Zaruka: neuvedené"/>
    <n v="3.76"/>
    <n v="689"/>
    <n v="2590.64"/>
    <n v="4.25"/>
    <n v="6.12"/>
    <n v="13.55"/>
  </r>
  <r>
    <n v="1123"/>
    <s v="KÚPNA  ZMLUVA č. 149/OI/2020"/>
    <n v="5254584"/>
    <s v="https://crz.gov.sk/zmluva/5254584"/>
    <s v="https://www.crz.gov.sk/data/att/2589256.pdf, https://www.crz.gov.sk/data/att/2589296.pdf"/>
    <x v="33"/>
    <s v="Typ: neuvedené,Porty: 4x USB 3.2,Napajanie:cez USB,Vypinanie: spolu s PC,Zaruka: neuvedené"/>
    <n v="10.49"/>
    <n v="79"/>
    <n v="828.71"/>
    <n v="7.9050000000000002"/>
    <n v="13"/>
    <n v="16.75"/>
  </r>
  <r>
    <n v="1124"/>
    <s v="KÚPNA  ZMLUVA č. 149/OI/2020"/>
    <n v="5254584"/>
    <s v="https://crz.gov.sk/zmluva/5254584"/>
    <s v="https://www.crz.gov.sk/data/att/2589256.pdf, https://www.crz.gov.sk/data/att/2589296.pdf"/>
    <x v="14"/>
    <s v="Typ: neuvedené,Vyhot.: externý,Kapacita: 2TB,Rozmer: 2.5&quot;,Druh: HDD5400,Rozhranie: USB 3.0,Cache: neuvedené,Zaruka: neuvedené"/>
    <n v="148.36000000000001"/>
    <n v="43"/>
    <n v="6379.4800000000005"/>
    <n v="55.5"/>
    <n v="91.88"/>
    <n v="148.36000000000001"/>
  </r>
  <r>
    <n v="1125"/>
    <s v="KÚPNA  ZMLUVA č. 149/OI/2020"/>
    <n v="5254584"/>
    <s v="https://crz.gov.sk/zmluva/5254584"/>
    <s v="https://www.crz.gov.sk/data/att/2589256.pdf, https://www.crz.gov.sk/data/att/2589296.pdf"/>
    <x v="14"/>
    <s v="Typ: neuvedené,Vyhot.: interný,Kapacita: 1TB,Rozmer: 2.5&quot;,Druh: SSD,Rozhranie: SATA 6Gb/s,Cache: neuvedené,Zaruka: neuvedené"/>
    <n v="146.54"/>
    <n v="5"/>
    <n v="732.69999999999993"/>
    <n v="55.5"/>
    <n v="91.88"/>
    <n v="148.36000000000001"/>
  </r>
  <r>
    <n v="1126"/>
    <s v="KÚPNA  ZMLUVA č. 149/OI/2020"/>
    <n v="5254584"/>
    <s v="https://crz.gov.sk/zmluva/5254584"/>
    <s v="https://www.crz.gov.sk/data/att/2589256.pdf, https://www.crz.gov.sk/data/att/2589296.pdf"/>
    <x v="14"/>
    <s v="Typ: WD Blue Mobile,Vyhot.: interný,Kapacita: 2TB,Rozmer: 2.5&quot;,Druh: HDD5400,Rozhranie: SATA 6Gb/s,Cache: neuvedené,Zaruka: neuvedené"/>
    <n v="114.67"/>
    <n v="2"/>
    <n v="229.34"/>
    <n v="55.5"/>
    <n v="91.88"/>
    <n v="148.36000000000001"/>
  </r>
  <r>
    <n v="1127"/>
    <s v="KÚPNA  ZMLUVA č. 149/OI/2020"/>
    <n v="5254584"/>
    <s v="https://crz.gov.sk/zmluva/5254584"/>
    <s v="https://www.crz.gov.sk/data/att/2589256.pdf, https://www.crz.gov.sk/data/att/2589296.pdf"/>
    <x v="14"/>
    <s v="Typ: neuvedené,Vyhot.: interný,Kapacita: 500GB,Rozmer: 2.5&quot;,Druh: SSD,Rozhranie: NVMe,Cache: neuvedené,Zaruka: neuvedené"/>
    <n v="83.48"/>
    <n v="10"/>
    <n v="834.80000000000007"/>
    <n v="55.5"/>
    <n v="91.88"/>
    <n v="148.36000000000001"/>
  </r>
  <r>
    <n v="1128"/>
    <s v="KÚPNA  ZMLUVA č. 149/OI/2020"/>
    <n v="5254584"/>
    <s v="https://crz.gov.sk/zmluva/5254584"/>
    <s v="https://www.crz.gov.sk/data/att/2589256.pdf, https://www.crz.gov.sk/data/att/2589296.pdf"/>
    <x v="14"/>
    <s v="Typ: SanDisk Extreme Portable,Vyhot.: externý,Kapacita: 2TB,Rozmer: 2.5&quot;,Druh: SSD,Rozhranie: USB 3.1-C,Cache: neuvedené,Zaruka: neuvedené"/>
    <n v="440.17"/>
    <n v="7"/>
    <n v="3081.19"/>
    <n v="55.5"/>
    <n v="91.88"/>
    <n v="148.36000000000001"/>
  </r>
  <r>
    <n v="1129"/>
    <s v="KÚPNA  ZMLUVA č. 149/OI/2020"/>
    <n v="5254584"/>
    <s v="https://crz.gov.sk/zmluva/5254584"/>
    <s v="https://www.crz.gov.sk/data/att/2589256.pdf, https://www.crz.gov.sk/data/att/2589296.pdf"/>
    <x v="16"/>
    <s v="Typ: neuvedené,Druh: DIMM,Kapacita: 4GB,Generacia: DDR4,Frekv.: 2400MHz,Zaruka: neuvedené"/>
    <n v="24.71"/>
    <n v="10"/>
    <n v="247.10000000000002"/>
    <n v="22.082500000000003"/>
    <n v="31.15"/>
    <n v="48.125"/>
  </r>
  <r>
    <n v="1130"/>
    <s v="KÚPNA  ZMLUVA č. 149/OI/2020"/>
    <n v="5254584"/>
    <s v="https://crz.gov.sk/zmluva/5254584"/>
    <s v="https://www.crz.gov.sk/data/att/2589256.pdf, https://www.crz.gov.sk/data/att/2589296.pdf"/>
    <x v="16"/>
    <s v="Typ: neuvedené,Druh: DIMM,Kapacita: 8GB,Generacia: DDR4,Frekv.: 2400MHz,Zaruka: neuvedené"/>
    <n v="43.48"/>
    <n v="10"/>
    <n v="434.79999999999995"/>
    <n v="22.082500000000003"/>
    <n v="31.15"/>
    <n v="48.125"/>
  </r>
  <r>
    <n v="1131"/>
    <s v="KÚPNA  ZMLUVA č. 149/OI/2020"/>
    <n v="5254584"/>
    <s v="https://crz.gov.sk/zmluva/5254584"/>
    <s v="https://www.crz.gov.sk/data/att/2589256.pdf, https://www.crz.gov.sk/data/att/2589296.pdf"/>
    <x v="16"/>
    <s v="Typ: neuvedené,Druh: SO-DIMM,Kapacita: 4GB,Generacia: DDR4,Frekv.: 2666MHz,Zaruka: neuvedené"/>
    <n v="33.340000000000003"/>
    <n v="10"/>
    <n v="333.40000000000003"/>
    <n v="22.082500000000003"/>
    <n v="31.15"/>
    <n v="48.125"/>
  </r>
  <r>
    <n v="1132"/>
    <s v="KÚPNA  ZMLUVA č. 149/OI/2020"/>
    <n v="5254584"/>
    <s v="https://crz.gov.sk/zmluva/5254584"/>
    <s v="https://www.crz.gov.sk/data/att/2589256.pdf, https://www.crz.gov.sk/data/att/2589296.pdf"/>
    <x v="16"/>
    <s v="Typ: neuvedené,Druh: SO-DIMM,Kapacita: 8GB,Generacia: DDR4,Frekv.: 2666MHz,Zaruka: neuvedené"/>
    <n v="42.42"/>
    <n v="10"/>
    <n v="424.20000000000005"/>
    <n v="22.082500000000003"/>
    <n v="31.15"/>
    <n v="48.125"/>
  </r>
  <r>
    <n v="1133"/>
    <s v="KÚPNA  ZMLUVA č. 149/OI/2020"/>
    <n v="5254584"/>
    <s v="https://crz.gov.sk/zmluva/5254584"/>
    <s v="https://www.crz.gov.sk/data/att/2589256.pdf, https://www.crz.gov.sk/data/att/2589296.pdf"/>
    <x v="14"/>
    <s v="Typ: WD Red,Vyhot.: interný,Kapacita: 4TB,Rozmer: 3.5&quot;,Druh: HDD7200,Rozhranie: SATA 6Gb/s,Cache: 128MB,Zaruka: neuvedené"/>
    <n v="225"/>
    <n v="54"/>
    <n v="12150"/>
    <n v="55.5"/>
    <n v="91.88"/>
    <n v="148.36000000000001"/>
  </r>
  <r>
    <n v="1134"/>
    <s v="KÚPNA  ZMLUVA č. 149/OI/2020"/>
    <n v="5254584"/>
    <s v="https://crz.gov.sk/zmluva/5254584"/>
    <s v="https://www.crz.gov.sk/data/att/2589256.pdf, https://www.crz.gov.sk/data/att/2589296.pdf"/>
    <x v="14"/>
    <s v="Typ: WD Blue,Vyhot.: interný,Kapacita: 1TB,Rozmer: 3.5&quot;,Druh: HDD5900,Rozhranie: SATA 6Gb/s,Cache: 64MB,Zaruka: neuvedené"/>
    <n v="56.61"/>
    <n v="33"/>
    <n v="1868.1299999999999"/>
    <n v="55.5"/>
    <n v="91.88"/>
    <n v="148.36000000000001"/>
  </r>
  <r>
    <n v="1135"/>
    <s v="KÚPNA  ZMLUVA č. 149/OI/2020"/>
    <n v="5254584"/>
    <s v="https://crz.gov.sk/zmluva/5254584"/>
    <s v="https://www.crz.gov.sk/data/att/2589256.pdf, https://www.crz.gov.sk/data/att/2589296.pdf"/>
    <x v="14"/>
    <s v="Typ: Seagate Constellation,Vyhot.: interný,Kapacita: 1TB,Rozmer: 3.5&quot;,Druh: HDD7200,Rozhranie: SATA 6Gb/s,Cache: 64MB,Zaruka: neuvedené"/>
    <n v="78.180000000000007"/>
    <n v="4"/>
    <n v="312.72000000000003"/>
    <n v="55.5"/>
    <n v="91.88"/>
    <n v="148.36000000000001"/>
  </r>
  <r>
    <n v="1136"/>
    <s v="KÚPNA  ZMLUVA č. 149/OI/2020"/>
    <n v="5254584"/>
    <s v="https://crz.gov.sk/zmluva/5254584"/>
    <s v="https://www.crz.gov.sk/data/att/2589256.pdf, https://www.crz.gov.sk/data/att/2589296.pdf"/>
    <x v="9"/>
    <s v="Typ: Synology DiskStation RS819,Technol.: SATA 6Gb/s,Radic: RAID0/1/5/6/10/JBOD,Cache: 2GB RAM,Disky: bez,Porty: 4 SATA,Vyhotovenie: rackmount,2x1Gb LAN,vzdialený prístup,Zaruka: neuvedené"/>
    <n v="1216"/>
    <n v="2"/>
    <n v="2432"/>
    <n v="2032"/>
    <n v="19360"/>
    <n v="87628.37"/>
  </r>
  <r>
    <n v="1137"/>
    <s v="KÚPNA  ZMLUVA č. 149/OI/2020"/>
    <n v="5254584"/>
    <s v="https://crz.gov.sk/zmluva/5254584"/>
    <s v="https://www.crz.gov.sk/data/att/2589256.pdf, https://www.crz.gov.sk/data/att/2589296.pdf"/>
    <x v="38"/>
    <s v="Typ: neuvedené,Technol.: optická drôtová vertikálna,Rozlisenie: 1600dpi,Rozhranie: USB,Zaruka: neuvedené"/>
    <n v="17.399999999999999"/>
    <n v="500"/>
    <n v="8700"/>
    <n v="4.25"/>
    <n v="6.12"/>
    <n v="13.55"/>
  </r>
  <r>
    <n v="1138"/>
    <s v="KÚPNA  ZMLUVA č. 149/OI/2020"/>
    <n v="5254584"/>
    <s v="https://crz.gov.sk/zmluva/5254584"/>
    <s v="https://www.crz.gov.sk/data/att/2589256.pdf, https://www.crz.gov.sk/data/att/2589296.pdf"/>
    <x v="38"/>
    <s v="Typ: neuvedené,Technol.: optická bezdrôtová vertikálna,Rozlisenie: 1600dpi,Rozhranie: USB+WiFi,Zaruka: neuvedené"/>
    <n v="24.22"/>
    <n v="30"/>
    <n v="726.59999999999991"/>
    <n v="4.25"/>
    <n v="6.12"/>
    <n v="13.55"/>
  </r>
  <r>
    <n v="1139"/>
    <s v="KÚPNA  ZMLUVA č. 149/OI/2020"/>
    <n v="5254584"/>
    <s v="https://crz.gov.sk/zmluva/5254584"/>
    <s v="https://www.crz.gov.sk/data/att/2589256.pdf, https://www.crz.gov.sk/data/att/2589296.pdf"/>
    <x v="39"/>
    <s v="Typ: neuvedené,Pripoj.: drôtová,Rozlozenie: CZ+SK,Rozhranie: USB,Zaruka: neuvedené"/>
    <n v="4.93"/>
    <n v="534"/>
    <n v="2632.62"/>
    <n v="5.1899999999999995"/>
    <n v="8.5"/>
    <n v="21.95"/>
  </r>
  <r>
    <n v="1140"/>
    <s v="KÚPNA ZMLUVA O DODÁVKE CENTRÁLNYCH ZARIADENÍ A LICENCIÍ"/>
    <n v="5608437"/>
    <s v="https://crz.gov.sk/zmluva/5608437"/>
    <s v="https://www.crz.gov.sk/data/att/2796865.pdf"/>
    <x v="9"/>
    <s v="Typ: HPE StoreOnce 5200,Technol.: virtuálna pásková knižnica (HDD emulated Tape Library),Radic: RAID1-10,Cache: 8GB RAM,Disky: 36x 4TB SATA 7200,Porty: 5 SATA,Vyhotovenie: na stôl,4x1Gb LAN+2x16Gb FC+1x 1Gb LAN iLO management,vzdialený prístup, Zaruka: 2+NBD"/>
    <n v="87628.37"/>
    <n v="1"/>
    <n v="87628.37"/>
    <n v="2032"/>
    <n v="19360"/>
    <n v="87628.37"/>
  </r>
  <r>
    <n v="1141"/>
    <s v="KÚPNA ZMLUVA O DODÁVKE CENTRÁLNYCH ZARIADENÍ A LICENCIÍ"/>
    <n v="5608437"/>
    <s v="https://crz.gov.sk/zmluva/5608437"/>
    <s v="https://www.crz.gov.sk/data/att/2796865.pdf"/>
    <x v="44"/>
    <s v="Typ: HPE MSL6480 0-drive Tape Library,Technol.: pásková knižnica,Vyhotovenie: rackmount,Medium: pásky &gt;=2.5TB LTO-6 RW WORM,Pocet_mech.: 4,Pocet_kap_media: 300x 2.5TB + 10x cistiace,Komp_rozhrania: 8Gb FC,Zaruka: 2+NBD"/>
    <n v="46767.22"/>
    <n v="1"/>
    <n v="46767.22"/>
    <n v="11441.9125"/>
    <n v="24241.455000000002"/>
    <n v="41877.177500000005"/>
  </r>
  <r>
    <n v="1142"/>
    <s v="Rámcová dohoda"/>
    <n v="5694910"/>
    <s v="https://crz.gov.sk/zmluva/5694910"/>
    <s v="https://www.crz.gov.sk/data/att/2849436.pdf"/>
    <x v="2"/>
    <s v="Typ: Dell P2219H,Rozlisenie: 1920x1080,Frekv: 60 Hz,Velkost: 21.5&quot;,Kontrast: 1000:1,Vstupy: DP, HDMI, VGA, USB, matný,nastaviteľný,Zaruka: 3+NBD"/>
    <n v="129"/>
    <n v="27"/>
    <n v="3483"/>
    <n v="141.67500000000001"/>
    <n v="194"/>
    <n v="266.75"/>
  </r>
  <r>
    <n v="1143"/>
    <s v="Rámcová dohoda"/>
    <n v="5694910"/>
    <s v="https://crz.gov.sk/zmluva/5694910"/>
    <s v="https://www.crz.gov.sk/data/att/2849436.pdf"/>
    <x v="2"/>
    <s v="Typ: Dell UltraSharp U2419H,Rozlisenie: 1920x1080,Frekv: 60 Hz,Velkost: 24&quot;,Kontrast: 1000:1,Vstupy: DP, HDMI, miniDP, USB, matný,nastaviteľný,Zaruka: neuvedené"/>
    <n v="187"/>
    <n v="11"/>
    <n v="2057"/>
    <n v="141.67500000000001"/>
    <n v="194"/>
    <n v="266.75"/>
  </r>
  <r>
    <n v="1144"/>
    <s v="Rámcová dohoda"/>
    <n v="5694910"/>
    <s v="https://crz.gov.sk/zmluva/5694910"/>
    <s v="https://www.crz.gov.sk/data/att/2849436.pdf"/>
    <x v="2"/>
    <s v="Typ: Dell U2719D,Rozlisenie: 2560x1440,Frekv: 60 Hz,Velkost: 27&quot;,Kontrast: 1000:1,Vstupy: DP, HDMI, matný,nastaviteľný,Zaruka: neuvedené"/>
    <n v="325"/>
    <n v="12"/>
    <n v="3900"/>
    <n v="141.67500000000001"/>
    <n v="194"/>
    <n v="266.75"/>
  </r>
  <r>
    <n v="1145"/>
    <s v="Rámcová dohoda"/>
    <n v="5694910"/>
    <s v="https://crz.gov.sk/zmluva/5694910"/>
    <s v="https://www.crz.gov.sk/data/att/2849436.pdf"/>
    <x v="2"/>
    <s v="Typ: AOC MT MVA LCD 22E1Q,Rozlisenie: 1920x1080,Frekv: 60 Hz,Velkost: 21.5&quot;,Kontrast: 1000:1,Vstupy: VGA, DP, HDMI, matný,Zaruka: neuvedené"/>
    <n v="94"/>
    <n v="10"/>
    <n v="940"/>
    <n v="141.67500000000001"/>
    <n v="194"/>
    <n v="266.75"/>
  </r>
  <r>
    <n v="1146"/>
    <s v="Rámcová dohoda"/>
    <n v="5694910"/>
    <s v="https://crz.gov.sk/zmluva/5694910"/>
    <s v="https://www.crz.gov.sk/data/att/2849436.pdf"/>
    <x v="2"/>
    <s v="Typ: AOC MT IPS LCD,Rozlisenie: 1920x1080,Frekv: 60 Hz,Velkost: 23.8&quot;,Kontrast: 1000:1,Vstupy: VGA, DP, HDMI, matný,nastaviteľný,Zaruka: neuvedené"/>
    <n v="99"/>
    <n v="25"/>
    <n v="2475"/>
    <n v="141.67500000000001"/>
    <n v="194"/>
    <n v="266.75"/>
  </r>
  <r>
    <n v="1147"/>
    <s v="Rámcová dohoda"/>
    <n v="5694910"/>
    <s v="https://crz.gov.sk/zmluva/5694910"/>
    <s v="https://www.crz.gov.sk/data/att/2849436.pdf"/>
    <x v="2"/>
    <s v="Typ: Samsung C27F396,Rozlisenie: 1920x1080,Frekv: 60 Hz,Velkost: 27&quot; prehnutý 1800R,Kontrast: 3000:1,Vstupy: VGA, HDMI, matný,Zaruka: neuvedené"/>
    <n v="147"/>
    <n v="10"/>
    <n v="1470"/>
    <n v="141.67500000000001"/>
    <n v="194"/>
    <n v="266.75"/>
  </r>
  <r>
    <n v="1148"/>
    <s v="Rámcová dohoda"/>
    <n v="5694910"/>
    <s v="https://crz.gov.sk/zmluva/5694910"/>
    <s v="https://www.crz.gov.sk/data/att/2849436.pdf"/>
    <x v="0"/>
    <s v="Typ: Intel NUC Kit 7i5DNKE,Proc: passmark 5190,RAM: 8GB,Disk: SSD NVMe 240GB,VGA: zdiel.,OS: Win10,Zaruka: neuvedené"/>
    <n v="420"/>
    <n v="2"/>
    <n v="840"/>
    <n v="680"/>
    <n v="991"/>
    <n v="1485.8333333333335"/>
  </r>
  <r>
    <n v="1149"/>
    <s v="Rámcová dohoda"/>
    <n v="5694910"/>
    <s v="https://crz.gov.sk/zmluva/5694910"/>
    <s v="https://www.crz.gov.sk/data/att/2849436.pdf"/>
    <x v="0"/>
    <s v="Typ: HP Pavilion 24 AiO k0001nc,Proc: 6-jadro passmark 10000,RAM: 8GB,Disk: SSD SATA 512GB,VGA: zdiel,OS: Win10,klávesnica,myš,Monitor: FHD 23.8&quot; WLED dotyk,Zaruka: neuvedené"/>
    <n v="770"/>
    <n v="13"/>
    <n v="10010"/>
    <n v="680"/>
    <n v="991"/>
    <n v="1485.8333333333335"/>
  </r>
  <r>
    <n v="1150"/>
    <s v="Rámcová dohoda"/>
    <n v="5694910"/>
    <s v="https://crz.gov.sk/zmluva/5694910"/>
    <s v="https://www.crz.gov.sk/data/att/2849436.pdf"/>
    <x v="0"/>
    <s v="Typ: HP Pavilion 27 AiO d0000nc,Proc: 6-jadro passmark 10000,RAM: 16GB,Disk: SSD SATA 512GB,VGA: zdiel,OS: Win10,klávesnica,myš,Monitor: FHD 27&quot; WLED dotyk,Zaruka: neuvedené"/>
    <n v="950"/>
    <n v="15"/>
    <n v="14250"/>
    <n v="680"/>
    <n v="991"/>
    <n v="1485.8333333333335"/>
  </r>
  <r>
    <n v="1151"/>
    <s v="Rámcová dohoda"/>
    <n v="5694910"/>
    <s v="https://crz.gov.sk/zmluva/5694910"/>
    <s v="https://www.crz.gov.sk/data/att/2849436.pdf"/>
    <x v="0"/>
    <s v="Typ: Lenovo M720t,Proc: 6-jadro passmark 9592,RAM: 16GB,Disk: SSD NVMe 512GB,VGA: zdiel.,OS: Win10,klávesnica,myš,DVD,Zaruka: neuvedené"/>
    <n v="680"/>
    <n v="12"/>
    <n v="8160"/>
    <n v="680"/>
    <n v="991"/>
    <n v="1485.8333333333335"/>
  </r>
  <r>
    <n v="1152"/>
    <s v="Rámcová dohoda"/>
    <n v="5694910"/>
    <s v="https://crz.gov.sk/zmluva/5694910"/>
    <s v="https://www.crz.gov.sk/data/att/2849436.pdf"/>
    <x v="0"/>
    <s v="Typ: neuvedené,Proc: 4-jadro passmark 8896,RAM: 8GB,Disk: SSD SATA 240GB,VGA: zdiel.,OS: Win10,klávesnica,myš,DVD,Zaruka: neuvedené"/>
    <n v="498"/>
    <n v="5"/>
    <n v="2490"/>
    <n v="680"/>
    <n v="991"/>
    <n v="1485.8333333333335"/>
  </r>
  <r>
    <n v="1153"/>
    <s v="Rámcová dohoda"/>
    <n v="5694910"/>
    <s v="https://crz.gov.sk/zmluva/5694910"/>
    <s v="https://www.crz.gov.sk/data/att/2849436.pdf"/>
    <x v="0"/>
    <s v="Typ: neuvedené,Proc: 4-jadro passmark 8808,RAM: 8GB,Disk: SSD SATA 256GB,VGA: zdiel.,OS: Win10,klávesnica,myš,DVD,Zaruka: neuvedené"/>
    <n v="540"/>
    <n v="7"/>
    <n v="3780"/>
    <n v="680"/>
    <n v="991"/>
    <n v="1485.8333333333335"/>
  </r>
  <r>
    <n v="1154"/>
    <s v="Rámcová dohoda"/>
    <n v="5694910"/>
    <s v="https://crz.gov.sk/zmluva/5694910"/>
    <s v="https://www.crz.gov.sk/data/att/2849436.pdf"/>
    <x v="0"/>
    <s v="Typ: neuvedené,Proc: 4-jadro passmark 10247,RAM: 16GB,Disk: SSD SATA 512GB,VGA: zdiel.,OS: Win10,klávesnica,myš,Zaruka: neuvedené"/>
    <n v="550"/>
    <n v="2"/>
    <n v="1100"/>
    <n v="680"/>
    <n v="991"/>
    <n v="1485.8333333333335"/>
  </r>
  <r>
    <n v="1155"/>
    <s v="Rámcová dohoda"/>
    <n v="5694910"/>
    <s v="https://crz.gov.sk/zmluva/5694910"/>
    <s v="https://www.crz.gov.sk/data/att/2849436.pdf"/>
    <x v="0"/>
    <s v="Typ: HP Pavilion Gam TG01-0105nc,Proc: 8-jadro passmark 22716,RAM: 16GB,Disk: SSD SATA 1TB,VGA: nVidia RTX2060 6GB RAM passmark 13952,OS: Win10,klávesnica,myš,Zaruka: neuvedené"/>
    <n v="1120"/>
    <n v="2"/>
    <n v="2240"/>
    <n v="680"/>
    <n v="991"/>
    <n v="1485.8333333333335"/>
  </r>
  <r>
    <n v="1156"/>
    <s v="Rámcová dohoda"/>
    <n v="5694910"/>
    <s v="https://crz.gov.sk/zmluva/5694910"/>
    <s v="https://www.crz.gov.sk/data/att/2849436.pdf"/>
    <x v="0"/>
    <s v="Typ: HP Slim S01-pD0014nc,Proc: 6-jadro passmark 9224,RAM: 8GB,Disk: SSD NVMe 512GB,VGA: zdiel.,OS: Win10,klávesnica,myš,DVD,Zaruka: neuvedené"/>
    <n v="498"/>
    <n v="8"/>
    <n v="3984"/>
    <n v="680"/>
    <n v="991"/>
    <n v="1485.8333333333335"/>
  </r>
  <r>
    <n v="1157"/>
    <s v="Rámcová dohoda"/>
    <n v="5694910"/>
    <s v="https://crz.gov.sk/zmluva/5694910"/>
    <s v="https://www.crz.gov.sk/data/att/2849436.pdf"/>
    <x v="1"/>
    <s v="Typ: Dell Inspiron 3793,Proc.: 4-jadro passmark 8655,RAM: 8GB,Disk: SSD NVMe 512GB,VGA: zdiel.,Disp: FHD,OS: Win10,klávesnica,myš,taška,TPM,Zaruka: neuvedené"/>
    <n v="890"/>
    <n v="2"/>
    <n v="1780"/>
    <n v="783.15"/>
    <n v="1196.3"/>
    <n v="1455.5"/>
  </r>
  <r>
    <n v="1158"/>
    <s v="Rámcová dohoda"/>
    <n v="5694910"/>
    <s v="https://crz.gov.sk/zmluva/5694910"/>
    <s v="https://www.crz.gov.sk/data/att/2849436.pdf"/>
    <x v="1"/>
    <s v="Typ: Dell Inspiron 3593,Proc.: 4-jadro passmark 7729,RAM: 8GB,Disk: SSD NVMe 512GB,VGA: zdiel.,Disp: FHD,OS: Win10,klávesnica,myš,taška,TPM,Zaruka: neuvedené"/>
    <n v="710"/>
    <n v="34"/>
    <n v="24140"/>
    <n v="783.15"/>
    <n v="1196.3"/>
    <n v="1455.5"/>
  </r>
  <r>
    <n v="1159"/>
    <s v="Rámcová dohoda"/>
    <n v="5694910"/>
    <s v="https://crz.gov.sk/zmluva/5694910"/>
    <s v="https://www.crz.gov.sk/data/att/2849436.pdf"/>
    <x v="1"/>
    <s v="Typ: Dell Latitude 5410,Proc.: 4-jadro passmark 6400,RAM: 8GB,Disk: SSD NVMe 256GB,VGA: zdiel.,Disp: FHD,OS: Win10,klávesnica,myš,taška,TPM,Zaruka: neuvedené"/>
    <n v="830"/>
    <n v="15"/>
    <n v="12450"/>
    <n v="783.15"/>
    <n v="1196.3"/>
    <n v="1455.5"/>
  </r>
  <r>
    <n v="1160"/>
    <s v="Rámcová dohoda"/>
    <n v="5694910"/>
    <s v="https://crz.gov.sk/zmluva/5694910"/>
    <s v="https://www.crz.gov.sk/data/att/2849436.pdf"/>
    <x v="1"/>
    <s v="Typ: Dell Inspiron 7391,Proc.: 4-jadro passmark 6828,RAM: 16GB,Disk: SSD NVMe 512GB,VGA: zdiel.,Disp: FHD,OS: Win10,klávesnica,myš,taška,TPM,Zaruka: neuvedené"/>
    <n v="1120"/>
    <n v="5"/>
    <n v="5600"/>
    <n v="783.15"/>
    <n v="1196.3"/>
    <n v="1455.5"/>
  </r>
  <r>
    <n v="1161"/>
    <s v="Rámcová dohoda"/>
    <n v="5694910"/>
    <s v="https://crz.gov.sk/zmluva/5694910"/>
    <s v="https://www.crz.gov.sk/data/att/2849436.pdf"/>
    <x v="1"/>
    <s v="Typ: Apple MacBook Air,Proc.: 8-jadro passmark 8000,RAM: 8GB,Disk: SSD SATA 512GB,VGA: zdiel.,Disp: 2560x1600,OS: macOS Mojave,Zaruka: neuvedené"/>
    <n v="1290"/>
    <n v="2"/>
    <n v="2580"/>
    <n v="783.15"/>
    <n v="1196.3"/>
    <n v="1455.5"/>
  </r>
  <r>
    <n v="1162"/>
    <s v="Rámcová dohoda"/>
    <n v="5694910"/>
    <s v="https://crz.gov.sk/zmluva/5694910"/>
    <s v="https://www.crz.gov.sk/data/att/2849436.pdf"/>
    <x v="1"/>
    <s v="Typ: Apple MacBook Air,Proc.: 8-jadro passmark 8000,RAM: 8GB,Disk: SSD SATA 256GB,VGA: zdiel.,Disp: 2560x1600,OS: macOS Mojave,Zaruka: neuvedené"/>
    <n v="1260"/>
    <n v="3"/>
    <n v="3780"/>
    <n v="783.15"/>
    <n v="1196.3"/>
    <n v="1455.5"/>
  </r>
  <r>
    <n v="1163"/>
    <s v="Rámcová dohoda"/>
    <n v="5694910"/>
    <s v="https://crz.gov.sk/zmluva/5694910"/>
    <s v="https://www.crz.gov.sk/data/att/2849436.pdf"/>
    <x v="1"/>
    <s v="Typ: Lenovo IP Yoga Touch 400N,Proc.: 4-jadro passmark 6828,RAM: 16GB,Disk: SSD NVMe 512GB,VGA: zdiel.,Disp: FHD,OS: Win10,TPM,Zaruka: neuvedené"/>
    <n v="930"/>
    <n v="10"/>
    <n v="9300"/>
    <n v="783.15"/>
    <n v="1196.3"/>
    <n v="1455.5"/>
  </r>
  <r>
    <n v="1164"/>
    <s v="Rámcová dohoda"/>
    <n v="5694910"/>
    <s v="https://crz.gov.sk/zmluva/5694910"/>
    <s v="https://www.crz.gov.sk/data/att/2849436.pdf"/>
    <x v="1"/>
    <s v="Typ: Lenovo ThinkPad E14 Gen2,Proc.: 8-jadro passmark 13646,RAM: 16GB,Disk: SSD NVMe 512GB,VGA: zdiel.,Disp: FHD,OS: Win10Pro,TPM,Zaruka: neuvedené"/>
    <n v="780"/>
    <n v="2"/>
    <n v="1560"/>
    <n v="783.15"/>
    <n v="1196.3"/>
    <n v="1455.5"/>
  </r>
  <r>
    <n v="1165"/>
    <s v="Rámcová dohoda"/>
    <n v="5694910"/>
    <s v="https://crz.gov.sk/zmluva/5694910"/>
    <s v="https://www.crz.gov.sk/data/att/2849436.pdf"/>
    <x v="1"/>
    <s v="Typ: HP ProBook x360 435 G7,Proc.: 8-jadro passmark 13646,RAM: 16GB,Disk: SSD NVMe 512GB,VGA: zdiel.,Disp: FHD,OS: Win10Pro,TPM,Zaruka: neuvedené"/>
    <n v="970"/>
    <n v="2"/>
    <n v="1940"/>
    <n v="783.15"/>
    <n v="1196.3"/>
    <n v="1455.5"/>
  </r>
  <r>
    <n v="1166"/>
    <s v="Rámcová dohoda"/>
    <n v="5694910"/>
    <s v="https://crz.gov.sk/zmluva/5694910"/>
    <s v="https://www.crz.gov.sk/data/att/2849436.pdf"/>
    <x v="1"/>
    <s v="Typ: Lenovo IdeaPad 15ARE05,Proc.: 6-jadro passmark 11098,RAM: 8GB,Disk: SSD NVMe 512GB,VGA: zdiel.,Disp: FHD,OS: Win10,TPM,Zaruka: neuvedené"/>
    <n v="560"/>
    <n v="12"/>
    <n v="6720"/>
    <n v="783.15"/>
    <n v="1196.3"/>
    <n v="1455.5"/>
  </r>
  <r>
    <n v="1167"/>
    <s v="Rámcová dohoda"/>
    <n v="5694910"/>
    <s v="https://crz.gov.sk/zmluva/5694910"/>
    <s v="https://www.crz.gov.sk/data/att/2849436.pdf"/>
    <x v="12"/>
    <s v="Typ: Samsung Galaxy Tab A,Proc.: 8-jadro passmark 1948,RAM: 2GB,Disk: CF 32GB,Disp.: 1920x1200,OS: Android 9,Fotoaparat 2x,bluetooth,wifi,gps,Zaruka: neuvedené"/>
    <n v="188"/>
    <n v="16"/>
    <n v="3008"/>
    <n v="307.64999999999998"/>
    <n v="533.63"/>
    <n v="761.32"/>
  </r>
  <r>
    <n v="1168"/>
    <s v="Rámcová dohoda"/>
    <n v="5694910"/>
    <s v="https://crz.gov.sk/zmluva/5694910"/>
    <s v="https://www.crz.gov.sk/data/att/2849436.pdf"/>
    <x v="12"/>
    <s v="Typ: Samsung Galaxy Tab S7 11,Proc.: 4-jadro passmark 5387,RAM: 6GB,Disk: CF 128GB,Disp.: 2560x1600,OS: Android 10,Fotoaparat 2x,bluetooth,wifi,gps,Zaruka: neuvedené"/>
    <n v="750"/>
    <n v="4"/>
    <n v="3000"/>
    <n v="307.64999999999998"/>
    <n v="533.63"/>
    <n v="761.32"/>
  </r>
  <r>
    <n v="1169"/>
    <s v="Rámcová dohoda"/>
    <n v="5694910"/>
    <s v="https://crz.gov.sk/zmluva/5694910"/>
    <s v="https://www.crz.gov.sk/data/att/2849436.pdf"/>
    <x v="12"/>
    <s v="Typ: Apple iPad,Proc.: 6-jadro passmark 4705,RAM: 3GB,Disk: CF 32GB,Disp.: 2160x1620,OS: iPad OS14,Fotoaparat 2x,bluetooth,wifi,gps,Zaruka: neuvedené"/>
    <n v="360"/>
    <n v="2"/>
    <n v="720"/>
    <n v="307.64999999999998"/>
    <n v="533.63"/>
    <n v="761.32"/>
  </r>
  <r>
    <n v="1170"/>
    <s v="Rámcová dohoda"/>
    <n v="5694910"/>
    <s v="https://crz.gov.sk/zmluva/5694910"/>
    <s v="https://www.crz.gov.sk/data/att/2849436.pdf"/>
    <x v="4"/>
    <s v="Typ: Konica Bizhub 4050i,Technologia: laser,Farba: nie,Formaty: A4,Rozhrania: USB, ethernet, wifi,RAM: 5GB,Pam. karta: SSD 256GB,Zasobnik: 500,R. tlace: 1200dpi,R. kopirky: 600dpi,R. skenera: 600dpi,Duplex: áno,Zaruka: neuvedené"/>
    <n v="1940"/>
    <n v="4"/>
    <n v="7760"/>
    <n v="393.94499999999999"/>
    <n v="710.01499999999999"/>
    <n v="2552.0574999999999"/>
  </r>
  <r>
    <n v="1171"/>
    <s v="Rámcová dohoda"/>
    <n v="5694910"/>
    <s v="https://crz.gov.sk/zmluva/5694910"/>
    <s v="https://www.crz.gov.sk/data/att/2849436.pdf"/>
    <x v="3"/>
    <s v="Typ: HP LaserJet Pro M203dn,Technologia: laser,Farba: nie,Formaty: A4,Rozhrania: USB, ethernet, airprint,RAM: 256MB,Pam. karta: nie,Zasobnik: 260,Rozlisenie: 1200dpi,Duplex: áno,Zaruka: neuvedené"/>
    <n v="160"/>
    <n v="12"/>
    <n v="1920"/>
    <n v="229.78"/>
    <n v="424.2"/>
    <n v="1030.3"/>
  </r>
  <r>
    <n v="1172"/>
    <s v="Rámcová dohoda"/>
    <n v="5694910"/>
    <s v="https://crz.gov.sk/zmluva/5694910"/>
    <s v="https://www.crz.gov.sk/data/att/2849436.pdf"/>
    <x v="4"/>
    <s v="Typ: Konica Bizhub 227,Technologia: laser,Farba: nie,Formaty: A3,Rozhrania: USB, ethernet, wifi,RAM: 2GB,Pam. karta: HDD 250GB,Zasobnik: 1000,R. tlace: 1200dpi,R. kopirky: 600dpi,R. skenera: 600dpi,Duplex: áno,zošívačka,Zaruka: neuvedené"/>
    <n v="2120"/>
    <n v="1"/>
    <n v="2120"/>
    <n v="393.94499999999999"/>
    <n v="710.01499999999999"/>
    <n v="2552.0574999999999"/>
  </r>
  <r>
    <n v="1173"/>
    <s v="Rámcová dohoda"/>
    <n v="5694910"/>
    <s v="https://crz.gov.sk/zmluva/5694910"/>
    <s v="https://www.crz.gov.sk/data/att/2849436.pdf"/>
    <x v="4"/>
    <s v="Typ: Konica Bizhub C250i,Technologia: laser,Farba: áno,Formaty: A3,Rozhrania: USB, ethernet, wifi,RAM: 8GB,Pam. karta: SSD 256GB,Zasobnik: 1000,R. tlace: 1200dpi,R. kopirky: 600dpi,R. skenera: 600dpi,Duplex: áno,zošívačka,Zaruka: neuvedené"/>
    <n v="3150"/>
    <n v="1"/>
    <n v="3150"/>
    <n v="393.94499999999999"/>
    <n v="710.01499999999999"/>
    <n v="2552.0574999999999"/>
  </r>
  <r>
    <n v="1174"/>
    <s v="Rámcová dohoda"/>
    <n v="5694910"/>
    <s v="https://crz.gov.sk/zmluva/5694910"/>
    <s v="https://www.crz.gov.sk/data/att/2849436.pdf"/>
    <x v="4"/>
    <s v="Typ: Kyocera Ecosys M2040DN,Technologia: laser,Farba: nie,Formaty: A4,Rozhrania: USB, ethernet, wifi,RAM: 512MB,Pam. karta: bez,Zasobnik: 250,R. tlace: 1200dpi,R. kopirky: 600dpi,R. skenera: 600dpi,Duplex: áno,Zaruka: neuvedené"/>
    <n v="294"/>
    <n v="13"/>
    <n v="3822"/>
    <n v="393.94499999999999"/>
    <n v="710.01499999999999"/>
    <n v="2552.0574999999999"/>
  </r>
  <r>
    <n v="1175"/>
    <s v="Rámcová dohoda"/>
    <n v="5694910"/>
    <s v="https://crz.gov.sk/zmluva/5694910"/>
    <s v="https://www.crz.gov.sk/data/att/2849436.pdf"/>
    <x v="4"/>
    <s v="Typ: Canon i-SENSYS MF443dw,Technologia: laser,Farba: nie,Formaty: A4,Rozhrania: USB, ethernet, wifi,RAM: 1GB,Pam. karta: bez,Zasobnik: 250,R. tlace: 1200dpi,R. kopirky: 600dpi,R. skenera: 600dpi,Duplex: áno,Zaruka: neuvedené"/>
    <n v="310"/>
    <n v="6"/>
    <n v="1860"/>
    <n v="393.94499999999999"/>
    <n v="710.01499999999999"/>
    <n v="2552.0574999999999"/>
  </r>
  <r>
    <n v="1176"/>
    <s v="Rámcová dohoda"/>
    <n v="5694910"/>
    <s v="https://crz.gov.sk/zmluva/5694910"/>
    <s v="https://www.crz.gov.sk/data/att/2849436.pdf"/>
    <x v="4"/>
    <s v="Typ: Brother MFC-L2762DW,Technologia: laser,Farba: nie,Formaty: A4,Rozhrania: USB, ethernet, wifi,RAM: 128MB,Pam. karta: bez,Zasobnik: 250,R. tlace: 1200dpi,R. kopirky: 600dpi,R. skenera: 600dpi,Duplex: áno,Zaruka: neuvedené"/>
    <n v="220"/>
    <n v="12"/>
    <n v="2640"/>
    <n v="393.94499999999999"/>
    <n v="710.01499999999999"/>
    <n v="2552.0574999999999"/>
  </r>
  <r>
    <n v="1177"/>
    <s v="Rámcová dohoda"/>
    <n v="5694910"/>
    <s v="https://crz.gov.sk/zmluva/5694910"/>
    <s v="https://www.crz.gov.sk/data/att/2849436.pdf"/>
    <x v="7"/>
    <s v="Typ: EPSON EB-U42,Technol.: 3LCD,Svetlost: 3600lm,Zdroj svetla: žiarovka 10000h,Rozlisenie: 1920x1200,Kontrast: 15000:1,Rozhrania: Miracast, CINCH, MHL, Kompozit, USB, HDMI, VGA, WIFI,Zaruka: neuvedené"/>
    <n v="598"/>
    <n v="22"/>
    <n v="13156"/>
    <n v="709.95"/>
    <n v="1000"/>
    <n v="5171.4583333333339"/>
  </r>
  <r>
    <n v="1178"/>
    <s v="Rámcová dohoda"/>
    <n v="5694910"/>
    <s v="https://crz.gov.sk/zmluva/5694910"/>
    <s v="https://www.crz.gov.sk/data/att/2849436.pdf"/>
    <x v="7"/>
    <s v="Typ: BENQ DLP Projector MH733,Technol.: 3LCD,Svetlost: 4000lm,Zdroj svetla: žiarovka 15000h,Rozlisenie: 1920x1080,Kontrast: 16000:1,Rozhrania: RS-232, USB, HDMI, VGA,Zaruka: neuvedené"/>
    <n v="699"/>
    <n v="4"/>
    <n v="2796"/>
    <n v="709.95"/>
    <n v="1000"/>
    <n v="5171.4583333333339"/>
  </r>
  <r>
    <n v="1179"/>
    <s v="Rámcová dohoda"/>
    <n v="5694910"/>
    <s v="https://crz.gov.sk/zmluva/5694910"/>
    <s v="https://www.crz.gov.sk/data/att/2849436.pdf"/>
    <x v="7"/>
    <s v="Typ: Optoma X400,Technol.: DLP full 3D,Svetlost: 4000lm,Zdroj svetla: žiarovka s neuvedenou dobou životnosti,Rozlisenie: 1920x1080,Kontrast: 22000:1,Rozhrania: VGA, HDMI,Zaruka: neuvedené"/>
    <n v="510"/>
    <n v="5"/>
    <n v="2550"/>
    <n v="709.95"/>
    <n v="1000"/>
    <n v="5171.4583333333339"/>
  </r>
  <r>
    <n v="1180"/>
    <s v="Rámcová dohoda"/>
    <n v="5694910"/>
    <s v="https://crz.gov.sk/zmluva/5694910"/>
    <s v="https://www.crz.gov.sk/data/att/2849436.pdf"/>
    <x v="7"/>
    <s v="Typ: Optoma EH334,Technol.: DLP full 3D,Svetlost: 3600lm,Zdroj svetla: žiarovka s neuvedenou dobou životnosti,Rozlisenie: 1920x1080,Kontrast: 20000:1,Rozhrania: VGA, HDMI,Zaruka: neuvedené"/>
    <n v="540"/>
    <n v="3"/>
    <n v="1620"/>
    <n v="709.95"/>
    <n v="1000"/>
    <n v="5171.4583333333339"/>
  </r>
  <r>
    <n v="1181"/>
    <s v="Rámcová dohoda"/>
    <n v="5694910"/>
    <s v="https://crz.gov.sk/zmluva/5694910"/>
    <s v="https://www.crz.gov.sk/data/att/2849436.pdf"/>
    <x v="18"/>
    <s v="Typ: Cisco SG335-10P,Porty/rychl.: 10x1Gbps,Uroven: neuvedené,Vyhot.: 1U,VLAN: 4096,Zaruka: neuvedené"/>
    <n v="198"/>
    <n v="6"/>
    <n v="1188"/>
    <n v="1759.125"/>
    <n v="3923.7249999999999"/>
    <n v="12062.504999999999"/>
  </r>
  <r>
    <n v="1182"/>
    <s v="Rámcová dohoda"/>
    <n v="5694910"/>
    <s v="https://crz.gov.sk/zmluva/5694910"/>
    <s v="https://www.crz.gov.sk/data/att/2849436.pdf"/>
    <x v="18"/>
    <s v="Typ: Cisco Catalyst 2960-X PoE,Porty/rychl.: 48x1Gbps PoE,Uroven: neuvedené,Vyhot.: 1U,VLAN: 1023,Zaruka: neuvedené"/>
    <n v="4220"/>
    <n v="3"/>
    <n v="12660"/>
    <n v="1759.125"/>
    <n v="3923.7249999999999"/>
    <n v="12062.504999999999"/>
  </r>
  <r>
    <n v="1183"/>
    <s v="Rámcová dohoda"/>
    <n v="5694910"/>
    <s v="https://crz.gov.sk/zmluva/5694910"/>
    <s v="https://www.crz.gov.sk/data/att/2849436.pdf"/>
    <x v="18"/>
    <s v="Typ: Cisco SG300-52P,Porty/rychl.: 48x1Gbps + 2xSFP + 2xLAN/SFP,Uroven: neuvedené,Vyhot.: 1U,VLAN: 4096,Zaruka: neuvedené"/>
    <n v="915"/>
    <n v="8"/>
    <n v="7320"/>
    <n v="1759.125"/>
    <n v="3923.7249999999999"/>
    <n v="12062.504999999999"/>
  </r>
  <r>
    <n v="1184"/>
    <s v="Rámcová dohoda"/>
    <n v="5694910"/>
    <s v="https://crz.gov.sk/zmluva/5694910"/>
    <s v="https://www.crz.gov.sk/data/att/2849436.pdf"/>
    <x v="18"/>
    <s v="Typ: Cisco Catalyst 2960-X,Porty/rychl.: 48x1Gbps + 4xopt. Uplink 1GE,Uroven: neuvedené,Vyhot.: 1U,VLAN: 1023,Zaruka: neuvedené"/>
    <n v="2750"/>
    <n v="1"/>
    <n v="2750"/>
    <n v="1759.125"/>
    <n v="3923.7249999999999"/>
    <n v="12062.504999999999"/>
  </r>
  <r>
    <n v="1185"/>
    <s v="Rámcová dohoda"/>
    <n v="5694910"/>
    <s v="https://crz.gov.sk/zmluva/5694910"/>
    <s v="https://www.crz.gov.sk/data/att/2849436.pdf"/>
    <x v="18"/>
    <s v="Typ: Cisco Catalyst 2960-X PoE,Porty/rychl.: 48x1Gbps PoE + 4xopt. Uplink 1GE,Uroven: neuvedené,Vyhot.: 1U,VLAN: 1023,Zaruka: neuvedené"/>
    <n v="3950"/>
    <n v="1"/>
    <n v="3950"/>
    <n v="1759.125"/>
    <n v="3923.7249999999999"/>
    <n v="12062.504999999999"/>
  </r>
  <r>
    <n v="1186"/>
    <s v="Rámcová dohoda"/>
    <n v="5694910"/>
    <s v="https://crz.gov.sk/zmluva/5694910"/>
    <s v="https://www.crz.gov.sk/data/att/2849436.pdf"/>
    <x v="18"/>
    <s v="Typ: Cisco Catalyst 2960-X,Porty/rychl.: 48x1Gbps + 2xopt. Uplink 10GE,Uroven: neuvedené,Vyhot.: 1U,VLAN: 1023,Zaruka: neuvedené"/>
    <n v="3450"/>
    <n v="1"/>
    <n v="3450"/>
    <n v="1759.125"/>
    <n v="3923.7249999999999"/>
    <n v="12062.504999999999"/>
  </r>
  <r>
    <n v="1187"/>
    <s v="Rámcová dohoda"/>
    <n v="5694910"/>
    <s v="https://crz.gov.sk/zmluva/5694910"/>
    <s v="https://www.crz.gov.sk/data/att/2849436.pdf"/>
    <x v="18"/>
    <s v="Typ: Cisco Catalyst 2960-X,Porty/rychl.: 48x1Gbps + 2x 10Gbps SFP,Uroven: neuvedené,Vyhot.: 1U,VLAN: 1023,Zaruka: neuvedené"/>
    <n v="4980"/>
    <n v="1"/>
    <n v="4980"/>
    <n v="1759.125"/>
    <n v="3923.7249999999999"/>
    <n v="12062.504999999999"/>
  </r>
  <r>
    <n v="1188"/>
    <s v="Rámcová dohoda"/>
    <n v="5694910"/>
    <s v="https://crz.gov.sk/zmluva/5694910"/>
    <s v="https://www.crz.gov.sk/data/att/2849436.pdf"/>
    <x v="19"/>
    <s v="Typ: Ubiquiti UAP nanoHD Compact UniFi Wave 2 AC,Porty:1x1Gbit LAN+PoE+manažment,VPN: neuvedené,VLAN: neuvedené,PocetSSID: neuvedené,Normy: IEEE 802.11 a/b/g/n/an/ac-Wave2,MIMO: bližšie neurčené,Pasma: 2.4+5GHz,Roaming: neuvedené,Podpora: neuvedené,Zaruka: 2"/>
    <n v="135"/>
    <n v="61"/>
    <n v="8235"/>
    <n v="88.21"/>
    <n v="134.57"/>
    <n v="252.7"/>
  </r>
  <r>
    <n v="1189"/>
    <s v="Rámcová dohoda"/>
    <n v="5694910"/>
    <s v="https://crz.gov.sk/zmluva/5694910"/>
    <s v="https://www.crz.gov.sk/data/att/2849436.pdf"/>
    <x v="19"/>
    <s v="Typ: Ubiquiti UniFi AP AC In Wall,Porty:5x1Gbit LAN+manažment,VPN: neuvedené,VLAN: neuvedené,PocetSSID: neuvedené,Normy: IEEE 802.11 a/b/g/n/r/k/v/ac/ac-wave2,MIMO: 4x4,Pasma: 2.4+5GHz,Roaming: neuvedené,Podpora: neuvedené,Zaruka: neuvedené"/>
    <n v="140"/>
    <n v="5"/>
    <n v="700"/>
    <n v="88.21"/>
    <n v="134.57"/>
    <n v="252.7"/>
  </r>
  <r>
    <n v="1190"/>
    <s v="Rámcová dohoda"/>
    <n v="5694910"/>
    <s v="https://crz.gov.sk/zmluva/5694910"/>
    <s v="https://www.crz.gov.sk/data/att/2849436.pdf"/>
    <x v="19"/>
    <s v="Typ: Ubiquiti UniFi UAP AC HD,Porty:2x1Gbit LAN+manažment,VPN: neuvedené,VLAN: neuvedené,PocetSSID: 4 na vysielač,Normy: IEEE 802.11 a/b/g/n//ac/ac-wave2,MIMO: 4x4,Pasma: 2.4+5GHz,Roaming: neuvedené,Podpora: neuvedené,Zaruka: neuvedené"/>
    <n v="255"/>
    <n v="14"/>
    <n v="3570"/>
    <n v="88.21"/>
    <n v="134.57"/>
    <n v="252.7"/>
  </r>
  <r>
    <n v="1191"/>
    <s v="Rámcová dohoda"/>
    <n v="4365968"/>
    <s v="https://crz.gov.sk/4365968"/>
    <s v="https://www.crz.gov.sk/data/att/4365974_dokument1.pdf"/>
    <x v="8"/>
    <s v="Typ: IBM pSeries s922, Proc: 2x 8-jadro Power9 3.4 MHz,RAM: 512GB,Disk: 4x HDD 300GB 15k RPM SAS SFF, Radic: neuvedené, Ethernet: 2x 16Gbps FC + 4x 10Gbps, GPU: Zdiel., Vyhotovenie: rackmount, OS nezávislý systém manažment, Zaruka: 3"/>
    <n v="130262.22"/>
    <n v="2"/>
    <n v="260524.44"/>
    <n v="7209.15"/>
    <n v="15534.78"/>
    <n v="29950.799999999999"/>
  </r>
  <r>
    <n v="1192"/>
    <s v="Rámcová dohoda"/>
    <n v="4365968"/>
    <s v="https://crz.gov.sk/4365968"/>
    <s v="https://www.crz.gov.sk/data/att/4365974_dokument1.pdf"/>
    <x v="8"/>
    <s v="Typ: HPE ProLiant DL360 G10, Proc: 2x Intel Xeon-Gold 6134 8-jadro 3.2GHz,RAM: 64GB,Disk: 2x HDD 300GB 10k RPM SAS SFF, Radic: HPE Smart Array P408i-a SR Gen10 12G SAS Modular Controller, Ethernet: 4x 16Gbps FC + 8x 10Gbps, GPU: Zdiel., Vyhotovenie: rackmount, OS nezávislý systém manažment, Zaruka: 3"/>
    <n v="19757.53"/>
    <n v="4"/>
    <n v="79030.12"/>
    <n v="7209.15"/>
    <n v="15534.78"/>
    <n v="29950.799999999999"/>
  </r>
  <r>
    <n v="1193"/>
    <s v="Rámcová dohoda"/>
    <n v="4365968"/>
    <s v="https://crz.gov.sk/4365968"/>
    <s v="https://www.crz.gov.sk/data/att/4365974_dokument1.pdf"/>
    <x v="8"/>
    <s v="Typ: HPE ProLiant DL380 G10, Proc: 2x Intel Xeon-Gold 6154 18-jadro 3.0GHz,RAM: 128GB,Disk: 2x HDD 600GB 10k RPM SAS SFF, Radic: HPE Smart Array P408i-a SR Gen10 12G SAS Modular Controller, Ethernet: 2x 16Gbps FC + 4x 10Gbps, GPU: Zdiel., Vyhotovenie: rackmount, OS nezávislý systém manažment, Zaruka: 3"/>
    <n v="26015.94"/>
    <n v="5"/>
    <n v="130079.7"/>
    <n v="7209.15"/>
    <n v="15534.78"/>
    <n v="29950.799999999999"/>
  </r>
  <r>
    <n v="1194"/>
    <s v="Rámcová dohoda"/>
    <n v="4365968"/>
    <s v="https://crz.gov.sk/4365968"/>
    <s v="https://www.crz.gov.sk/data/att/4365974_dokument1.pdf"/>
    <x v="8"/>
    <s v="Typ: HPE ProLiant DL380 G10, Proc: 2x Intel Xeon-Gold 6154 18-jadro 3.0GHz,RAM: 512GB,Disk: 2x SSD 800GB mixed use SAS SFF, Radic: HPE Smart Array P408i-a SR Gen10 12G SAS Modular Controller, Ethernet: 2x 16Gbps FC + 4x 10Gbps, GPU: Zdiel., Vyhotovenie: rackmount, OS nezávislý systém manažment, Zaruka: 3"/>
    <n v="37812.949999999997"/>
    <n v="5"/>
    <n v="189064.75"/>
    <n v="7209.15"/>
    <n v="15534.78"/>
    <n v="29950.799999999999"/>
  </r>
  <r>
    <n v="1195"/>
    <s v="Rámcová dohoda"/>
    <n v="4365968"/>
    <s v="https://crz.gov.sk/4365968"/>
    <s v="https://www.crz.gov.sk/data/att/4365974_dokument1.pdf"/>
    <x v="8"/>
    <s v="Typ: HPE ProLiant DL580 G10,Proc: 2x Intel Xeon-Gold 6154 18-jadro 3.0GHz,RAM: 1024GB,Disk: 2x SSD 800GB mixed use SAS SFF, Radic: HPE Smart Array P408i-a SR Gen10 12G SAS Modular Controller, Ethernet: 4x 16Gbps FC + 4x 10Gbps, GPU: Zdiel., Vyhotovenie: rackmount, OS nezávislý systém manažment, Zaruka: 3"/>
    <n v="63070.65"/>
    <n v="2"/>
    <n v="126141.3"/>
    <n v="7209.15"/>
    <n v="15534.78"/>
    <n v="29950.799999999999"/>
  </r>
  <r>
    <n v="1196"/>
    <s v="Rámcová dohoda"/>
    <n v="4365968"/>
    <s v="https://crz.gov.sk/4365968"/>
    <s v="https://www.crz.gov.sk/data/att/4365974_dokument1.pdf"/>
    <x v="5"/>
    <s v="Typ: Blade chassis HPE C7000, Vyska: 10U, Siet: 20/40Gbit, 10Gbit SFP+ SR 8x, 16Gbit 24-port backbone, redundantné napájacie zdroje, redundantné ventiátory, KVM prepínač, Zaruka: 3"/>
    <n v="99465.48"/>
    <n v="2"/>
    <n v="198930.96"/>
    <n v="17.549999999999997"/>
    <n v="275.8"/>
    <n v="11191.057499999999"/>
  </r>
  <r>
    <n v="1197"/>
    <s v="Rámcová dohoda"/>
    <n v="4365968"/>
    <s v="https://crz.gov.sk/4365968"/>
    <s v="https://www.crz.gov.sk/data/att/4365974_dokument1.pdf"/>
    <x v="5"/>
    <s v="Typ: Blade chassis HPE C7000, Vyska: 10U, Siet: 20/40Gbit, 10Gbit SFP+ SR 16x, 16Gbit 24-port backbone, redundantné napájacie zdroje, redundantné ventiátory, KVM prepínač, Zaruka: 3"/>
    <n v="114567.44"/>
    <n v="2"/>
    <n v="229134.88"/>
    <n v="17.549999999999997"/>
    <n v="275.8"/>
    <n v="11191.057499999999"/>
  </r>
  <r>
    <n v="1198"/>
    <s v="Rámcová dohoda"/>
    <n v="4365968"/>
    <s v="https://crz.gov.sk/4365968"/>
    <s v="https://www.crz.gov.sk/data/att/4365974_dokument1.pdf"/>
    <x v="8"/>
    <s v="Typ: HPE ProLiant BL460c Gen10,Proc: 2x Intel Xeon-Gold 6134 8-jadro 3.3GHz,RAM: 64GB,Disk: 2x HDD 300GB SAS SFF, Radic: HPE Smart Array P204i-b SR Gen10 12G SAS Modular Controller, Ethernet: 2x 20Gbps + 1x 16Gbps FC host bus adapter, GPU: Zdiel., Vyhotovenie: rackmount, OS nezávislý systém manažment, Zaruka: 3"/>
    <n v="15534.78"/>
    <n v="5"/>
    <n v="77673.900000000009"/>
    <n v="7209.15"/>
    <n v="15534.78"/>
    <n v="29950.799999999999"/>
  </r>
  <r>
    <n v="1199"/>
    <s v="Rámcová dohoda"/>
    <n v="4365968"/>
    <s v="https://crz.gov.sk/4365968"/>
    <s v="https://www.crz.gov.sk/data/att/4365974_dokument1.pdf"/>
    <x v="8"/>
    <s v="Typ: HPE ProLiant BL460c Gen10,Proc: 2x Intel Xeon-Gold 6134 8-jadro 3.3GHz,RAM: 128GB,Disk: 2x HDD 300GB SAS SFF, Radic: HPE Smart Array P204i-b SR Gen10 12G SAS Modular Controller, Ethernet: 2x 20Gbps + 1x 16Gbps FC host bus adapter, GPU: Zdiel., Vyhotovenie: rackmount, OS nezávislý systém manažment, Zaruka: 3"/>
    <n v="16509.03"/>
    <n v="4"/>
    <n v="66036.12"/>
    <n v="7209.15"/>
    <n v="15534.78"/>
    <n v="29950.799999999999"/>
  </r>
  <r>
    <n v="1200"/>
    <s v="Rámcová dohoda"/>
    <n v="4365968"/>
    <s v="https://crz.gov.sk/4365968"/>
    <s v="https://www.crz.gov.sk/data/att/4365974_dokument1.pdf"/>
    <x v="8"/>
    <s v="Typ: HPE ProLiant BL460c Gen10,Proc: 2x Intel Xeon-Gold 6140 8-jadro 2.3GHz,RAM: 128GB,Disk: 2x HDD 300GB SAS SFF, Radic: HPE Smart Array P204i-b SR Gen10 12G SAS Modular Controller, Ethernet: 2x 20Gbps + 1x 16Gbps FC host bus adapter, GPU: Zdiel., Vyhotovenie: rackmount, OS nezávislý systém manažment, Zaruka: 3"/>
    <n v="20484.09"/>
    <n v="10"/>
    <n v="204840.9"/>
    <n v="7209.15"/>
    <n v="15534.78"/>
    <n v="29950.799999999999"/>
  </r>
  <r>
    <n v="1201"/>
    <s v="Rámcová dohoda"/>
    <n v="4365968"/>
    <s v="https://crz.gov.sk/4365968"/>
    <s v="https://www.crz.gov.sk/data/att/4365974_dokument1.pdf"/>
    <x v="8"/>
    <s v="Typ: HPE ProLiant BL460c Gen10,Proc: 2x Intel Xeon-Gold 5222 4-jadro 3.8GHz,RAM: 256GB,Disk: 2x SSD 800GB SAS SFF, Radic: HPE Smart Array P204i-b SR Gen10 12G SAS Modular Controller, Ethernet: 2x 20Gbps + 1x 16Gbps FC host bus adapter, GPU: Zdiel., Vyhotovenie: rackmount, OS nezávislý systém manažment, Zaruka: 3"/>
    <n v="31155.52"/>
    <n v="2"/>
    <n v="62311.040000000001"/>
    <n v="7209.15"/>
    <n v="15534.78"/>
    <n v="29950.799999999999"/>
  </r>
  <r>
    <n v="1202"/>
    <s v="Rámcová dohoda"/>
    <n v="4365968"/>
    <s v="https://crz.gov.sk/4365968"/>
    <s v="https://www.crz.gov.sk/data/att/4365974_dokument1.pdf"/>
    <x v="8"/>
    <s v="Typ: HPE ProLiant BL460c Gen10,Proc: 2x Intel Xeon-Gold 6252 24-jadro 2.1GHz,RAM: 512GB,Disk: 2x SSD 800GB SAS SFF, Radic: HPE Smart Array P204i-b SR Gen10 12G SAS Modular Controller, Ethernet: 2x 20Gbps + 1x 16Gbps FC host bus adapter, GPU: Zdiel., Vyhotovenie: rackmount, OS nezávislý systém manažment, Zaruka: 3"/>
    <n v="34418.69"/>
    <n v="5"/>
    <n v="172093.45"/>
    <n v="7209.15"/>
    <n v="15534.78"/>
    <n v="29950.799999999999"/>
  </r>
  <r>
    <n v="1203"/>
    <s v="Rámcová dohoda"/>
    <n v="4365968"/>
    <s v="https://crz.gov.sk/4365968"/>
    <s v="https://www.crz.gov.sk/data/att/4365974_dokument1.pdf"/>
    <x v="8"/>
    <s v="Typ: HPE ProLiant BL460c Gen10,Proc: 2x Intel Xeon-Gold 6252 24-jadro 2.1GHz,RAM: 1024GB,Disk: 2x SSD 800GB SAS SFF, Radic: HPE Smart Array P204i-b SR Gen10 12G SAS Modular Controller, Ethernet: 2x 20Gbps + 1x 16Gbps FC host bus adapter, GPU: Zdiel., Vyhotovenie: rackmount, OS nezávislý systém manažment, Zaruka: 3"/>
    <n v="45252.22"/>
    <n v="10"/>
    <n v="452522.2"/>
    <n v="7209.15"/>
    <n v="15534.78"/>
    <n v="29950.799999999999"/>
  </r>
  <r>
    <n v="1204"/>
    <s v="Rámcová dohoda"/>
    <n v="4365968"/>
    <s v="https://crz.gov.sk/4365968"/>
    <s v="https://www.crz.gov.sk/data/att/4365974_dokument1.pdf"/>
    <x v="8"/>
    <s v="Typ: HPE Integrity BL860c,Proc: 2x Intel i6 Itanium 9750 4-jadro 2.53GHz,RAM: 384GB,Disk: 2x HDD 300GB SAS SFF, Radic: HPE Integrity RAID 1, Ethernet: neuvedené + 1x 16Gbps FC host bus adapter, GPU: Zdiel., Vyhotovenie: rackmount, OS nezávislý systém manažment, Zaruka: 3"/>
    <n v="133179.54999999999"/>
    <n v="4"/>
    <n v="532718.19999999995"/>
    <n v="7209.15"/>
    <n v="15534.78"/>
    <n v="29950.799999999999"/>
  </r>
  <r>
    <n v="1205"/>
    <s v="Rámcová dohoda"/>
    <n v="4365968"/>
    <s v="https://crz.gov.sk/4365968"/>
    <s v="https://www.crz.gov.sk/data/att/4365974_dokument1.pdf"/>
    <x v="8"/>
    <s v="Typ: HPE Integrity BL860c,Proc: 2x Intel i6 Itanium 9760 8-jadro 2.67GHz,RAM: 384GB,Disk: 2x HDD 300GB SAS SFF, Radic: HPE Integrity RAID 1, Ethernet: neuvedené + 1x 16Gbps FC host bus adapter, GPU: Zdiel., Vyhotovenie: rackmount, OS nezávislý systém manažment, Zaruka: 3"/>
    <n v="160899.13"/>
    <n v="2"/>
    <n v="321798.26"/>
    <n v="7209.15"/>
    <n v="15534.78"/>
    <n v="29950.799999999999"/>
  </r>
  <r>
    <n v="1206"/>
    <s v="Rámcová dohoda"/>
    <n v="4365968"/>
    <s v="https://crz.gov.sk/4365968"/>
    <s v="https://www.crz.gov.sk/data/att/4365974_dokument1.pdf"/>
    <x v="26"/>
    <s v="Typ: HPE Single Rank,Druh: DIMM kit,Kapacita: 8GB,Generacia: DDR4,Frekv.: 2666MHz,Zaruka: neuvedené"/>
    <n v="279"/>
    <n v="20"/>
    <n v="5580"/>
    <n v="279"/>
    <n v="358.2"/>
    <n v="705"/>
  </r>
  <r>
    <n v="1207"/>
    <s v="Rámcová dohoda"/>
    <n v="4365968"/>
    <s v="https://crz.gov.sk/4365968"/>
    <s v="https://www.crz.gov.sk/data/att/4365974_dokument1.pdf"/>
    <x v="26"/>
    <s v="Typ: HPE Dual Rank,Druh: DIMM kit,Kapacita: 32GB,Generacia: DDR4,Frekv.: 2666MHz,Zaruka: neuvedené"/>
    <n v="705"/>
    <n v="40"/>
    <n v="28200"/>
    <n v="279"/>
    <n v="358.2"/>
    <n v="705"/>
  </r>
  <r>
    <n v="1208"/>
    <s v="Rámcová dohoda"/>
    <n v="4365968"/>
    <s v="https://crz.gov.sk/4365968"/>
    <s v="https://www.crz.gov.sk/data/att/4365974_dokument1.pdf"/>
    <x v="26"/>
    <s v="Typ: HPE Single Rank,Druh: DIMM kit,Kapacita: 16GB,Generacia: DDR4,Frekv.: 2666MHz,Zaruka: neuvedené"/>
    <n v="365"/>
    <n v="40"/>
    <n v="14600"/>
    <n v="279"/>
    <n v="358.2"/>
    <n v="705"/>
  </r>
  <r>
    <n v="1209"/>
    <s v="Rámcová dohoda"/>
    <n v="4365968"/>
    <s v="https://crz.gov.sk/4365968"/>
    <s v="https://www.crz.gov.sk/data/att/4365974_dokument1.pdf"/>
    <x v="26"/>
    <s v="Typ: HPE Dual Rank,Druh: DIMM kit,Kapacita: 32GB,Generacia: DDR4,Frekv.: 2666MHz,Zaruka: neuvedené"/>
    <n v="712.95"/>
    <n v="40"/>
    <n v="28518"/>
    <n v="279"/>
    <n v="358.2"/>
    <n v="705"/>
  </r>
  <r>
    <n v="1210"/>
    <s v="Rámcová dohoda"/>
    <n v="4365968"/>
    <s v="https://crz.gov.sk/4365968"/>
    <s v="https://www.crz.gov.sk/data/att/4365974_dokument1.pdf"/>
    <x v="26"/>
    <s v="Typ: HPE Dual Rank,Druh: DIMM kit,Kapacita: 64GB,Generacia: DDR4,Frekv.: 2666MHz,Zaruka: neuvedené"/>
    <n v="1692.65"/>
    <n v="20"/>
    <n v="33853"/>
    <n v="279"/>
    <n v="358.2"/>
    <n v="705"/>
  </r>
  <r>
    <n v="1211"/>
    <s v="Rámcová dohoda"/>
    <n v="4365968"/>
    <s v="https://crz.gov.sk/4365968"/>
    <s v="https://www.crz.gov.sk/data/att/4365974_dokument1.pdf"/>
    <x v="14"/>
    <s v="Typ: HPE,Vyhot.: interný,Kapacita: 240GB,Rozmer: 2.5&quot;,Druh: SSD,Rozhranie: SATA 6Gb/s,Cache: neuvedené,Zaruka: 3"/>
    <n v="295.85000000000002"/>
    <n v="10"/>
    <n v="2958.5"/>
    <n v="55.5"/>
    <n v="91.88"/>
    <n v="148.36000000000001"/>
  </r>
  <r>
    <n v="1212"/>
    <s v="Rámcová dohoda"/>
    <n v="4365968"/>
    <s v="https://crz.gov.sk/4365968"/>
    <s v="https://www.crz.gov.sk/data/att/4365974_dokument1.pdf"/>
    <x v="14"/>
    <s v="Typ: HPE,Vyhot.: interný,Kapacita: 800GB,Rozmer: 2.5&quot;,Druh: SSD,Rozhranie: SATA 6Gb/s,Cache: neuvedené,Zaruka: 3"/>
    <n v="1633.5"/>
    <n v="6"/>
    <n v="9801"/>
    <n v="55.5"/>
    <n v="91.88"/>
    <n v="148.36000000000001"/>
  </r>
  <r>
    <n v="1213"/>
    <s v="Rámcová dohoda"/>
    <n v="4365968"/>
    <s v="https://crz.gov.sk/4365968"/>
    <s v="https://www.crz.gov.sk/data/att/4365974_dokument1.pdf"/>
    <x v="23"/>
    <s v="Typ: HPE Ethernet 631SFP28 Adapter,Rozhranie: PCIe x1,Rychlost: 10/25Gbps,Zaruka: neuvedené"/>
    <n v="1149.45"/>
    <n v="4"/>
    <n v="4597.8"/>
    <n v="9.8249999999999993"/>
    <n v="21.14"/>
    <n v="248.75"/>
  </r>
  <r>
    <n v="1214"/>
    <s v="Rámcová dohoda"/>
    <n v="4365968"/>
    <s v="https://crz.gov.sk/4365968"/>
    <s v="https://www.crz.gov.sk/data/att/4365974_dokument1.pdf"/>
    <x v="46"/>
    <s v="Typ: HPE StoreFabric SN1600Q,Rozhranie: PCIe x1,Rychlost: 32Gbps FC, transceiver,Zaruka: neuvedené"/>
    <n v="6261.35"/>
    <n v="2"/>
    <n v="12522.7"/>
    <n v="1308.4649999999999"/>
    <n v="1623.05"/>
    <n v="3942.2"/>
  </r>
  <r>
    <n v="1215"/>
    <s v="Rámcová dohoda"/>
    <n v="4365968"/>
    <s v="https://crz.gov.sk/4365968"/>
    <s v="https://www.crz.gov.sk/data/att/4365974_dokument1.pdf"/>
    <x v="5"/>
    <s v="25Gbps FC transceiver,Typ: HPE SFP28,Rychlost: 25Gbps,Dosah: krátky,Zaruka: neuvedené"/>
    <n v="1532.6"/>
    <n v="2"/>
    <n v="3065.2"/>
    <n v="17.549999999999997"/>
    <n v="275.8"/>
    <n v="11191.057499999999"/>
  </r>
  <r>
    <n v="1216"/>
    <s v="Rámcová dohoda"/>
    <n v="4365968"/>
    <s v="https://crz.gov.sk/4365968"/>
    <s v="https://www.crz.gov.sk/data/att/4365974_dokument1.pdf"/>
    <x v="5"/>
    <s v="16Gbps FC transceiver,Typ: HPE B-series SFP+ Long Wave,Rychlost: 16Gbps,Dosah: 10km,Zaruka: neuvedené"/>
    <n v="3082.66"/>
    <n v="8"/>
    <n v="24661.279999999999"/>
    <n v="17.549999999999997"/>
    <n v="275.8"/>
    <n v="11191.057499999999"/>
  </r>
  <r>
    <n v="1217"/>
    <s v="Rámcová dohoda"/>
    <n v="4365968"/>
    <s v="https://crz.gov.sk/4365968"/>
    <s v="https://www.crz.gov.sk/data/att/4365974_dokument1.pdf"/>
    <x v="5"/>
    <s v="32Gbps FC transceiver,Typ: HPE B-series SFP28,Rychlost: 32Gbps,Dosah: krátky,Zaruka: neuvedené"/>
    <n v="1267.79"/>
    <n v="2"/>
    <n v="2535.58"/>
    <n v="17.549999999999997"/>
    <n v="275.8"/>
    <n v="11191.057499999999"/>
  </r>
  <r>
    <n v="1218"/>
    <s v="Rámcová dohoda"/>
    <n v="4365968"/>
    <s v="https://crz.gov.sk/4365968"/>
    <s v="https://www.crz.gov.sk/data/att/4365974_dokument1.pdf"/>
    <x v="5"/>
    <s v="Rozšír. Jednotka k disk. poľu,Typ: neuvedený,Kompat_pole: HPE 3PAR 8400,Pozicie: 24xSFF,Vyhotovenie: 2U,Disky: 24x HDD 1.2TB SFF,Zaruka: 3"/>
    <n v="46298.59"/>
    <n v="2"/>
    <n v="92597.18"/>
    <n v="17.549999999999997"/>
    <n v="275.8"/>
    <n v="11191.057499999999"/>
  </r>
  <r>
    <n v="1219"/>
    <s v="Rámcová dohoda"/>
    <n v="4365968"/>
    <s v="https://crz.gov.sk/4365968"/>
    <s v="https://www.crz.gov.sk/data/att/4365974_dokument1.pdf"/>
    <x v="5"/>
    <s v="Rozšír. Jednotka k disk. poľu,Typ: neuvedený,Kompat_pole: HPE 3PAR 8400,Pozicie: 24xSFF,Vyhotovenie: 2U,Disky: 12x SSD 920GB SFF,Zaruka: 3"/>
    <n v="65274.6"/>
    <n v="1"/>
    <n v="65274.6"/>
    <n v="17.549999999999997"/>
    <n v="275.8"/>
    <n v="11191.057499999999"/>
  </r>
  <r>
    <n v="1220"/>
    <s v="Rámcová dohoda"/>
    <n v="4365968"/>
    <s v="https://crz.gov.sk/4365968"/>
    <s v="https://www.crz.gov.sk/data/att/4365974_dokument1.pdf"/>
    <x v="9"/>
    <s v="Typ: HPE 3PAR 8400 4N,Technol.: SATA 6Gb/s,Radic: RAID0/1/5/6,Cache: 1664GB RAM,Disky: 64x HDD 1.2TB 10K SFF,Porty: 64 (rozšír.),Vyhotovenie: rackmount,4x16Gb FC,vzdialený prístup,Zaruka: 3"/>
    <n v="272158.38"/>
    <n v="1"/>
    <n v="272158.38"/>
    <n v="2032"/>
    <n v="19360"/>
    <n v="87628.37"/>
  </r>
  <r>
    <n v="1221"/>
    <s v="Rámcová dohoda"/>
    <n v="4365968"/>
    <s v="https://crz.gov.sk/4365968"/>
    <s v="https://www.crz.gov.sk/data/att/4365974_dokument1.pdf"/>
    <x v="5"/>
    <s v="Rozšír. Jednotka k disk. poľu,Typ: Dell EMC2 Unity 400 25x2.5 Drive DAE FLD RCK,Kompat_pole: Dell EMC2 Unity 400,Pozicie: 25xSFF,Vyhotovenie: 2U,Disky: 24x HDD 1.2TB 10K SAS SFF,Zaruka: neuvedené + 4h zásah"/>
    <n v="46298.59"/>
    <n v="2"/>
    <n v="92597.18"/>
    <n v="17.549999999999997"/>
    <n v="275.8"/>
    <n v="11191.057499999999"/>
  </r>
  <r>
    <n v="1222"/>
    <s v="Rámcová dohoda"/>
    <n v="4365968"/>
    <s v="https://crz.gov.sk/4365968"/>
    <s v="https://www.crz.gov.sk/data/att/4365974_dokument1.pdf"/>
    <x v="9"/>
    <s v="Typ: Dell EMC Unity 400, Technol.: SAS3 s podporou NLSAS a SSD, Radic: 2x 12 Gbps RAID0-6, Cache: 48GB + 24GB (nie SSD cache), Disky: 64x 1200GB SAS SFF 10k/min, Porty: 2x4x16Gbps FC, 4x16Gbps FC LAN, Vyhotovenie: 2U, vzdialený prístup, automatický tiering, Zaruka: neuvedené + 4h zásah"/>
    <n v="141798.51999999999"/>
    <n v="2"/>
    <n v="283597.03999999998"/>
    <n v="2032"/>
    <n v="19360"/>
    <n v="87628.37"/>
  </r>
  <r>
    <n v="1223"/>
    <s v="Rámcová dohoda"/>
    <n v="4365968"/>
    <s v="https://crz.gov.sk/4365968"/>
    <s v="https://www.crz.gov.sk/data/att/4365974_dokument1.pdf"/>
    <x v="5"/>
    <s v="Rozšír. Jednotka k disk. poľu,Typ: Dell EMC2 Unity 500 25x2.5 Drive DPE FLD,Kompat_pole: Dell EMC2 Unity 500,Pozicie: 25xSFF,Vyhotovenie: 2U,Disky: 24x HDD 1.2TB 10K SAS SFF,Zaruka: neuvedené + 4h zásah"/>
    <n v="35730.99"/>
    <n v="2"/>
    <n v="71461.98"/>
    <n v="17.549999999999997"/>
    <n v="275.8"/>
    <n v="11191.057499999999"/>
  </r>
  <r>
    <n v="1224"/>
    <s v="Rámcová dohoda"/>
    <n v="4365968"/>
    <s v="https://crz.gov.sk/4365968"/>
    <s v="https://www.crz.gov.sk/data/att/4365974_dokument1.pdf"/>
    <x v="5"/>
    <s v="Rozšír. Jednotka k disk. poľu,Typ: Dell EMC2 Unity 500 25x2.5 Drive DPE FLD,Kompat_pole: Dell EMC2 Unity 500,Pozicie: 25xSFF,Vyhotovenie: 2U,Disky: 12x FLASH 1.6TB SFF,Zaruka: neuvedené + 4h zásah"/>
    <n v="83566.8"/>
    <n v="1"/>
    <n v="83566.8"/>
    <n v="17.549999999999997"/>
    <n v="275.8"/>
    <n v="11191.057499999999"/>
  </r>
  <r>
    <n v="1225"/>
    <s v="Rámcová dohoda"/>
    <n v="4365968"/>
    <s v="https://crz.gov.sk/4365968"/>
    <s v="https://www.crz.gov.sk/data/att/4365974_dokument1.pdf"/>
    <x v="9"/>
    <s v="Typ: Dell EMC Unity 500, Technol.: SAS3 s podporou NLSAS a SSD, Radic: 2x 12 Gbps RAID0-6, Cache: 5x400GB (nie SSD cache), Disky: 8x FLASH 1.6TB + 64x 1200GB SAS SFF 10k/min, Porty: 8x4x16Gbps FC, 4x16Gbps FC LAN, Vyhotovenie: 2U, vzdialený prístup, automatický tiering,Zaruka: neuvedené"/>
    <n v="186066.95"/>
    <n v="1"/>
    <n v="186066.95"/>
    <n v="2032"/>
    <n v="19360"/>
    <n v="87628.37"/>
  </r>
  <r>
    <n v="1226"/>
    <s v="Rámcová dohoda"/>
    <n v="4365968"/>
    <s v="https://crz.gov.sk/4365968"/>
    <s v="https://www.crz.gov.sk/data/att/4365974_dokument1.pdf"/>
    <x v="9"/>
    <s v="Typ: Dell EMC VPLEX VS6, Technol.: FC, Radic: neuvedený, Cache: neuvedená, Disky: FLASH pamäť s neuvedenou kapacitou, Porty: 8x4x16Gbps FC, 4x16Gbps FC + 10 Gbps LAN, Vyhotovenie: tower, vzdialený prístup, 350VA UPS,Zaruka: neuvedené + 4h zásah"/>
    <n v="159166.84"/>
    <n v="1"/>
    <n v="159166.84"/>
    <n v="2032"/>
    <n v="19360"/>
    <n v="87628.37"/>
  </r>
  <r>
    <n v="1227"/>
    <s v="Rámcová dohoda"/>
    <n v="4365968"/>
    <s v="https://crz.gov.sk/4365968"/>
    <s v="https://www.crz.gov.sk/data/att/4365974_dokument1.pdf"/>
    <x v="48"/>
    <s v="Typ: DELL 6610R-B FC switch,Porty/rychl.: 24x 16Gbps FC,Uroven: neuvedené,Vyhot.: 1U+1U,VLAN: bez,manažovaný,Zaruka: neuvedené"/>
    <n v="19445.55"/>
    <n v="1"/>
    <n v="19445.55"/>
    <n v="12800"/>
    <n v="18793.535"/>
    <n v="26260.85"/>
  </r>
  <r>
    <n v="1228"/>
    <s v="Rámcová dohoda"/>
    <n v="4365968"/>
    <s v="https://crz.gov.sk/4365968"/>
    <s v="https://www.crz.gov.sk/data/att/4365974_dokument1.pdf"/>
    <x v="48"/>
    <s v="Typ: DELL 6610R-B FC switch,Porty/rychl.: 24+32 (rozšír.) x16Gbps FC,Uroven: neuvedené,Vyhot.: 1U+1U,VLAN: bez,manažovaný,Zaruka: neuvedené"/>
    <n v="108466.22"/>
    <n v="1"/>
    <n v="108466.22"/>
    <n v="12800"/>
    <n v="18793.535"/>
    <n v="26260.85"/>
  </r>
  <r>
    <n v="1229"/>
    <s v="Rámcová dohoda"/>
    <n v="4365968"/>
    <s v="https://crz.gov.sk/4365968"/>
    <s v="https://www.crz.gov.sk/data/att/4365974_dokument1.pdf"/>
    <x v="48"/>
    <s v="Typ: DELL 6620R-B FC switch,Porty/rychl.: 24x 32Gbps FC,Uroven: neuvedené,Vyhot.: 1U,VLAN: bez,manažovaný,Zaruka: neuvedené + 4h zásah"/>
    <n v="46706.75"/>
    <n v="1"/>
    <n v="46706.75"/>
    <n v="12800"/>
    <n v="18793.535"/>
    <n v="26260.85"/>
  </r>
  <r>
    <n v="1230"/>
    <s v="Rámcová dohoda"/>
    <n v="4365968"/>
    <s v="https://crz.gov.sk/4365968"/>
    <s v="https://www.crz.gov.sk/data/att/4365974_dokument1.pdf"/>
    <x v="44"/>
    <s v="Typ: HPE StoreEver MSL2024 0-drive Tape Library,Technol.: pásková knižnica,Vyhotovenie: rackmount,Medium: pásky 30TB RW LTO-8 Data Cartridge,Pocet_mech.: 24,Pocet_kap_media: 24x 30TB + 1x cistiace,Komp_rozhrania: 8Gb FC,Upgrade kit,Zaruka: 3"/>
    <n v="27207.050000000003"/>
    <n v="2"/>
    <n v="54414.100000000006"/>
    <n v="11441.9125"/>
    <n v="24241.455000000002"/>
    <n v="41877.177500000005"/>
  </r>
  <r>
    <n v="1231"/>
    <s v="Rámcová dohoda"/>
    <n v="4365968"/>
    <s v="https://crz.gov.sk/4365968"/>
    <s v="https://www.crz.gov.sk/data/att/4365974_dokument1.pdf"/>
    <x v="44"/>
    <s v="Typ: HPE StoreEver MSL6480 0-drive Tape Library,Technol.: pásková knižnica,Vyhotovenie: rackmount,Medium: pásky 30TB RW LTO-8 Data Cartridge,Pocet_mech.: 80,Pocet_kap_media: 80x 30TB + 1x cistiace,Komp_rozhrania: 8Gb FC,Upgrade kit,Zaruka: 3"/>
    <n v="61874.45"/>
    <n v="2"/>
    <n v="123748.9"/>
    <n v="11441.9125"/>
    <n v="24241.455000000002"/>
    <n v="41877.177500000005"/>
  </r>
  <r>
    <n v="1232"/>
    <s v="Rámcová dohoda"/>
    <n v="4365968"/>
    <s v="https://crz.gov.sk/4365968"/>
    <s v="https://www.crz.gov.sk/data/att/4365974_dokument1.pdf"/>
    <x v="5"/>
    <s v="Zálohovacie médium - páska,Typ: HPE LTO-7M Ultrium RW Data Cartridge,Kapacita: 20x 15TB,Zaruka: neuvedené"/>
    <n v="2483.1999999999998"/>
    <n v="2"/>
    <n v="4966.3999999999996"/>
    <n v="17.549999999999997"/>
    <n v="275.8"/>
    <n v="11191.057499999999"/>
  </r>
  <r>
    <n v="1233"/>
    <s v="Rámcová dohoda"/>
    <n v="4365968"/>
    <s v="https://crz.gov.sk/4365968"/>
    <s v="https://www.crz.gov.sk/data/att/4365974_dokument1.pdf"/>
    <x v="5"/>
    <s v="Zálohovacie médium - páska,Typ: HPE LTO-8 Ultrium RW Data Cartridge,Kapacita: 20x 30TB,Zaruka: neuvedené"/>
    <n v="3627.8"/>
    <n v="2"/>
    <n v="7255.6"/>
    <n v="17.549999999999997"/>
    <n v="275.8"/>
    <n v="11191.057499999999"/>
  </r>
  <r>
    <n v="1234"/>
    <s v="Rámcová dohoda"/>
    <n v="4365968"/>
    <s v="https://crz.gov.sk/4365968"/>
    <s v="https://www.crz.gov.sk/data/att/4365974_dokument1.pdf"/>
    <x v="5"/>
    <s v="Čistiace médium - páska,Typ: HPE Ultrium Universal Cleaning Cartridge,Kapacita: bez,Zaruka: neuvedené"/>
    <n v="169.75"/>
    <n v="5"/>
    <n v="848.75"/>
    <n v="17.549999999999997"/>
    <n v="275.8"/>
    <n v="11191.057499999999"/>
  </r>
  <r>
    <n v="1235"/>
    <s v="Rámcová dohoda"/>
    <n v="4365968"/>
    <s v="https://crz.gov.sk/4365968"/>
    <s v="https://www.crz.gov.sk/data/att/4365974_dokument1.pdf"/>
    <x v="9"/>
    <s v="Typ: Dell EMC DD6300, Technol.: SAS, Radic: neuvedený, Cache: neuvedená, Disky: spolu 45TB neurčeného typu, Porty: 4x16Gbps FC + 4x10 Gbps LAN, Vyhotovenie: 2U, vzdialený prístup,Zaruka: neuvedené"/>
    <n v="152602.53"/>
    <n v="2"/>
    <n v="305205.06"/>
    <n v="2032"/>
    <n v="19360"/>
    <n v="87628.37"/>
  </r>
  <r>
    <n v="1236"/>
    <s v="Rámcová dohoda"/>
    <n v="4365968"/>
    <s v="https://crz.gov.sk/4365968"/>
    <s v="https://www.crz.gov.sk/data/att/4365974_dokument1.pdf"/>
    <x v="9"/>
    <s v="Typ: Dell EMC DD6800, Technol.: SAS, Radic: neuvedený, Cache: neuvedená, Disky: spolu 90TB neurčeného typu, Porty: 4x16Gbps FC + 4x10 Gbps LAN, Vyhotovenie: 2U, vzdialený prístup,Zaruka: neuvedené"/>
    <n v="255693.74"/>
    <n v="1"/>
    <n v="255693.74"/>
    <n v="2032"/>
    <n v="19360"/>
    <n v="87628.37"/>
  </r>
  <r>
    <n v="1237"/>
    <s v="Rámcová dohoda"/>
    <n v="4365968"/>
    <s v="https://crz.gov.sk/4365968"/>
    <s v="https://www.crz.gov.sk/data/att/4365974_dokument1.pdf"/>
    <x v="5"/>
    <s v="Rozšír. Jednotka k disk. poľu,Typ: Dell EMC2 DD6300 upgrade,Kompat_pole: Dell EMC2 DD6300,Pozicie: 15xSFF,Vyhotovenie: neuvedené,Disky: 15x 3TB SAS HDDZaruka: neuvedené + 4h zásah"/>
    <n v="126150.79"/>
    <n v="1"/>
    <n v="126150.79"/>
    <n v="17.549999999999997"/>
    <n v="275.8"/>
    <n v="11191.057499999999"/>
  </r>
  <r>
    <n v="1238"/>
    <s v="Rámcová dohoda"/>
    <n v="4365968"/>
    <s v="https://crz.gov.sk/4365968"/>
    <s v="https://www.crz.gov.sk/data/att/4365974_dokument1.pdf"/>
    <x v="5"/>
    <s v="Rozšír. Jednotka k disk. poľu,Typ: Dell EMC2 DD6800 upgrade,Kompat_pole: Dell EMC2 DD6800,Pozicie: 15xSFF,Vyhotovenie: neuvedené,Disky: 15x 3TB SAS HDDZaruka: neuvedené + 4h zásah"/>
    <n v="131295.04000000001"/>
    <n v="1"/>
    <n v="131295.04000000001"/>
    <n v="17.549999999999997"/>
    <n v="275.8"/>
    <n v="11191.057499999999"/>
  </r>
  <r>
    <n v="1239"/>
    <s v="Rámcová dohoda"/>
    <n v="4365968"/>
    <s v="https://crz.gov.sk/4365968"/>
    <s v="https://www.crz.gov.sk/data/att/4365974_dokument1.pdf"/>
    <x v="66"/>
    <s v="Typ: Cisco ISR 4331,Porty/rychl.: 3x1Gbit,Uroven: neuvedené,Vyhot.: 1U,VLAN: neuvedené,Zaruka: 3 + 24/7"/>
    <n v="8259.4500000000007"/>
    <n v="4"/>
    <n v="33037.800000000003"/>
    <n v="289"/>
    <n v="8259.4500000000007"/>
    <n v="40374.120000000003"/>
  </r>
  <r>
    <n v="1240"/>
    <s v="Rámcová dohoda"/>
    <n v="4365968"/>
    <s v="https://crz.gov.sk/4365968"/>
    <s v="https://www.crz.gov.sk/data/att/4365974_dokument1.pdf"/>
    <x v="66"/>
    <s v="Typ: Cisco ASR 1001-X,Porty/rychl.: 4x1Gbit + 2x10Gbit,Uroven: neuvedené,Vyhot.: neuvedené,VLAN: neuvedené,Zaruka: 3 + 24/7"/>
    <n v="40374.120000000003"/>
    <n v="2"/>
    <n v="80748.240000000005"/>
    <n v="289"/>
    <n v="8259.4500000000007"/>
    <n v="40374.120000000003"/>
  </r>
  <r>
    <n v="1241"/>
    <s v="Rámcová dohoda"/>
    <n v="4365968"/>
    <s v="https://crz.gov.sk/4365968"/>
    <s v="https://www.crz.gov.sk/data/att/4365974_dokument1.pdf"/>
    <x v="66"/>
    <s v="Typ: Cisco ASR 1004,Porty/rychl.: 5+5x1Gbit + 6x10Gbit,Uroven: neuvedené,Vyhot.: neuvedené,VLAN: neuvedené,Zaruka: 3 + 24/7"/>
    <n v="162373.04999999999"/>
    <n v="1"/>
    <n v="162373.04999999999"/>
    <n v="289"/>
    <n v="8259.4500000000007"/>
    <n v="40374.120000000003"/>
  </r>
  <r>
    <n v="1242"/>
    <s v="Rámcová dohoda"/>
    <n v="4365968"/>
    <s v="https://crz.gov.sk/4365968"/>
    <s v="https://www.crz.gov.sk/data/att/4365974_dokument1.pdf"/>
    <x v="18"/>
    <s v="Typ: Cisco Catalyst 9200L,Porty/rychl.: 48x 1Gbps + 4x 10Gbps,Uroven: neuvedené,Vyhot.: neuvedené,VLAN: 4096,Zaruka: 3 + 24/7"/>
    <n v="9127.41"/>
    <n v="6"/>
    <n v="54764.46"/>
    <n v="1759.125"/>
    <n v="3923.7249999999999"/>
    <n v="12062.504999999999"/>
  </r>
  <r>
    <n v="1243"/>
    <s v="Rámcová dohoda"/>
    <n v="4365968"/>
    <s v="https://crz.gov.sk/4365968"/>
    <s v="https://www.crz.gov.sk/data/att/4365974_dokument1.pdf"/>
    <x v="18"/>
    <s v="Typ: Cisco Catalyst 9300,Porty/rychl.: 48x 1Gbps + 8x 10Gbps,Uroven: neuvedené,Vyhot.: neuvedené,VLAN: 4094,Zaruka: 3 + 24/7"/>
    <n v="12703.8"/>
    <n v="4"/>
    <n v="50815.199999999997"/>
    <n v="1759.125"/>
    <n v="3923.7249999999999"/>
    <n v="12062.504999999999"/>
  </r>
  <r>
    <n v="1244"/>
    <s v="Rámcová dohoda"/>
    <n v="4365968"/>
    <s v="https://crz.gov.sk/4365968"/>
    <s v="https://www.crz.gov.sk/data/att/4365974_dokument1.pdf"/>
    <x v="18"/>
    <s v="Typ: Cisco Catalyst 9300 PoE,Porty/rychl.: 48x 1Gbps + 8x 10Gbps + PoE,Uroven: neuvedené,Vyhot.: neuvedené,VLAN: 4094,Zaruka: 3 + 24/7"/>
    <n v="14807.24"/>
    <n v="4"/>
    <n v="59228.959999999999"/>
    <n v="1759.125"/>
    <n v="3923.7249999999999"/>
    <n v="12062.504999999999"/>
  </r>
  <r>
    <n v="1245"/>
    <s v="Rámcová dohoda"/>
    <n v="4365968"/>
    <s v="https://crz.gov.sk/4365968"/>
    <s v="https://www.crz.gov.sk/data/att/4365974_dokument1.pdf"/>
    <x v="18"/>
    <s v="Typ: Cisco Catalyst 9400,Porty/rychl.: 48x 1Gbps + 24x10Gbps SFP + 2x 25Gbps FC,Uroven: neuvedené,Vyhot.: neuvedené,VLAN: neuvedené,Zaruka: 3 + 24/7"/>
    <n v="69630.13"/>
    <n v="2"/>
    <n v="139260.26"/>
    <n v="1759.125"/>
    <n v="3923.7249999999999"/>
    <n v="12062.504999999999"/>
  </r>
  <r>
    <n v="1246"/>
    <s v="Rámcová dohoda"/>
    <n v="4365968"/>
    <s v="https://crz.gov.sk/4365968"/>
    <s v="https://www.crz.gov.sk/data/att/4365974_dokument1.pdf"/>
    <x v="18"/>
    <s v="Typ: Cisco Catalyst 9400,Porty/rychl.: 24x 10/25Gbps + 4x40/100Gbps,Uroven: neuvedené,Vyhot.: neuvedené,VLAN: neuvedené,Zaruka: 3 + 24/7"/>
    <n v="59454.31"/>
    <n v="1"/>
    <n v="59454.31"/>
    <n v="1759.125"/>
    <n v="3923.7249999999999"/>
    <n v="12062.504999999999"/>
  </r>
  <r>
    <n v="1247"/>
    <s v="Rámcová dohoda"/>
    <n v="4365968"/>
    <s v="https://crz.gov.sk/4365968"/>
    <s v="https://www.crz.gov.sk/data/att/4365974_dokument1.pdf"/>
    <x v="18"/>
    <s v="Typ: Cisco Nexus 5596,Porty/rychl.: 48x 10Gbps + 2x6x1Gbps SFP + 16x10Gbps-SR SFP + 2x10Gbps SFP+,Uroven: neuvedené,Vyhot.: neuvedené,VLAN: neuvedené,Zaruka: 3 + 24/7"/>
    <n v="40440"/>
    <n v="2"/>
    <n v="80880"/>
    <n v="1759.125"/>
    <n v="3923.7249999999999"/>
    <n v="12062.504999999999"/>
  </r>
  <r>
    <n v="1248"/>
    <s v="Rámcová dohoda"/>
    <n v="4365968"/>
    <s v="https://crz.gov.sk/4365968"/>
    <s v="https://www.crz.gov.sk/data/att/4365974_dokument1.pdf"/>
    <x v="18"/>
    <s v="Typ: HPE 5900,Porty/rychl.: 48x 1Gbps,Uroven: neuvedené,Vyhot.: 1U,VLAN: nie,Zaruka: 3"/>
    <n v="11848.74"/>
    <n v="4"/>
    <n v="47394.96"/>
    <n v="1759.125"/>
    <n v="3923.7249999999999"/>
    <n v="12062.504999999999"/>
  </r>
  <r>
    <n v="1249"/>
    <s v="Rámcová dohoda"/>
    <n v="4365968"/>
    <s v="https://crz.gov.sk/4365968"/>
    <s v="https://www.crz.gov.sk/data/att/4365974_dokument1.pdf"/>
    <x v="54"/>
    <s v="Typ: Cisco CP-8865-K9,Porty: 2x1Gbit,Video: 720p+kamera,Displej: Farba 800x480,RychlVolby: 10+4,Protokoly: SCCP alebo SIP,VLAN: 802.1q,Handsfree: bluetooth 3.0+analóg,Ostatne: PoE, switch na prip. K PC 1Gbit+wifi, USB,Zaruka: 3 + 24/7"/>
    <n v="875.43"/>
    <n v="1"/>
    <n v="875.43"/>
    <n v="372.55833333333334"/>
    <n v="508.75000000000006"/>
    <n v="725.7166666666667"/>
  </r>
  <r>
    <n v="1250"/>
    <s v="Rámcová dohoda"/>
    <n v="4365968"/>
    <s v="https://crz.gov.sk/4365968"/>
    <s v="https://www.crz.gov.sk/data/att/4365974_dokument1.pdf"/>
    <x v="54"/>
    <s v="Typ: Cisco CP-8851,Porty: 1x1Gbit,Video: 720p+kamera,Displej: Farba 800x480,RychlVolby: 5,Protokoly: neuvedené,VLAN: neuvedené,Handsfree: bluetooth 3.0+analóg,Ostatne: PoE, switch na prip. K PC 1Gbit, USB,Zaruka: 3 + 24/7"/>
    <n v="329.8"/>
    <n v="10"/>
    <n v="3298"/>
    <n v="372.55833333333334"/>
    <n v="508.75000000000006"/>
    <n v="725.7166666666667"/>
  </r>
  <r>
    <n v="1251"/>
    <s v="Rámcová dohoda"/>
    <n v="4365968"/>
    <s v="https://crz.gov.sk/4365968"/>
    <s v="https://www.crz.gov.sk/data/att/4365974_dokument1.pdf"/>
    <x v="54"/>
    <s v="Typ: Cisco CP-8831,Porty: 1x100Mbit,Video: nie,Displej: Monochrom 396x162,RychlVolby: 5,Protokoly: neuvedené,VLAN: neuvedené,Handsfree: analógový reproduktor,Ostatne: bez,Zaruka: 3 + 24/7"/>
    <n v="795.4"/>
    <n v="5"/>
    <n v="3977"/>
    <n v="372.55833333333334"/>
    <n v="508.75000000000006"/>
    <n v="725.7166666666667"/>
  </r>
  <r>
    <n v="1252"/>
    <s v="Rámcová dohoda"/>
    <n v="4365968"/>
    <s v="https://crz.gov.sk/4365968"/>
    <s v="https://www.crz.gov.sk/data/att/4365974_dokument1.pdf"/>
    <x v="47"/>
    <s v="Typ: F5 BIG-IP WAF i2800,Porty: 10+1Gbps LAN,VPN: neuvedené,VLAN: neuvedené,Podpora: 24/7 replacement,Zaruka: neuvedené"/>
    <n v="60471.06"/>
    <n v="2"/>
    <n v="120942.12"/>
    <n v="17598.830000000002"/>
    <n v="60471.06"/>
    <n v="139860.215"/>
  </r>
  <r>
    <n v="1253"/>
    <s v="Rámcová dohoda"/>
    <n v="4365968"/>
    <s v="https://crz.gov.sk/4365968"/>
    <s v="https://www.crz.gov.sk/data/att/4365974_dokument1.pdf"/>
    <x v="47"/>
    <s v="Typ: F5 BIG-IP WAF i5800,Porty: 10+1Gbps LAN,VPN: neuvedené,VLAN: neuvedené,Podpora: 24/7 replacement,Zaruka: neuvedené"/>
    <n v="148243.54999999999"/>
    <n v="2"/>
    <n v="296487.09999999998"/>
    <n v="17598.830000000002"/>
    <n v="60471.06"/>
    <n v="139860.215"/>
  </r>
  <r>
    <n v="1254"/>
    <s v="Rámcová dohoda"/>
    <n v="4365968"/>
    <s v="https://crz.gov.sk/4365968"/>
    <s v="https://www.crz.gov.sk/data/att/4365974_dokument1.pdf"/>
    <x v="47"/>
    <s v="Typ: F5 BIG-IP WAF i7800,Porty: 10+1Gbps LAN,VPN: neuvedené,VLAN: neuvedené,Podpora:24/7 replacement,Zaruka: neuvedené"/>
    <n v="195370.12"/>
    <n v="2"/>
    <n v="390740.24"/>
    <n v="17598.830000000002"/>
    <n v="60471.06"/>
    <n v="139860.215"/>
  </r>
  <r>
    <n v="1255"/>
    <s v="Rámcová dohoda"/>
    <n v="4365968"/>
    <s v="https://crz.gov.sk/4365968"/>
    <s v="https://www.crz.gov.sk/data/att/4365974_dokument1.pdf"/>
    <x v="47"/>
    <s v="Typ: F5 BIG-IP Viprion 2400 LTM + chassis + 2250 Blade rozšír.,Porty: 10+1Gbps LAN,VPN: neuvedené,VLAN: neuvedené,Podpora: 24/7 replacementé,Zaruka: neuvedené"/>
    <n v="806012.33"/>
    <n v="1"/>
    <n v="806012.33"/>
    <n v="17598.830000000002"/>
    <n v="60471.06"/>
    <n v="139860.215"/>
  </r>
  <r>
    <n v="1256"/>
    <s v="Rámcová dohoda"/>
    <n v="4365968"/>
    <s v="https://crz.gov.sk/4365968"/>
    <s v="https://www.crz.gov.sk/data/att/4365974_dokument1.pdf"/>
    <x v="8"/>
    <s v="Typ: Gemalto DSX-50,Proc: 1x Intel Xeon 4-jadro,RAM: 8GB,Disk: 1x 146GB OS + 2x 146GB RAID1 data, Radic: RAID0/1, Ethernet: 1Gbps, GPU: Zdiel., Vyhotovenie: 2U, Zaruka: neuvedené + 24/7 6h oprava"/>
    <n v="94770"/>
    <n v="1"/>
    <n v="94770"/>
    <n v="7209.15"/>
    <n v="15534.78"/>
    <n v="29950.799999999999"/>
  </r>
  <r>
    <n v="1257"/>
    <s v="Rámcová dohoda"/>
    <n v="4365968"/>
    <s v="https://crz.gov.sk/4365968"/>
    <s v="https://www.crz.gov.sk/data/att/4365974_dokument1.pdf"/>
    <x v="5"/>
    <s v="Prihlasovací token,Typ: Gemalto Ezio Pico HW token,Zaruka: neuvedené"/>
    <n v="23.28"/>
    <n v="1000"/>
    <n v="23280"/>
    <n v="17.549999999999997"/>
    <n v="275.8"/>
    <n v="11191.057499999999"/>
  </r>
  <r>
    <n v="1258"/>
    <s v="Rámcová dohoda"/>
    <n v="4365968"/>
    <s v="https://crz.gov.sk/4365968"/>
    <s v="https://www.crz.gov.sk/data/att/4365974_dokument1.pdf"/>
    <x v="5"/>
    <s v="Prihlasovací token,Typ: Gemalto Ezio SW e-token,Zaruka: neuvedené"/>
    <n v="13.58"/>
    <n v="100"/>
    <n v="1358"/>
    <n v="17.549999999999997"/>
    <n v="275.8"/>
    <n v="11191.057499999999"/>
  </r>
  <r>
    <n v="1259"/>
    <s v="Rámcová dohoda"/>
    <n v="4365968"/>
    <s v="https://crz.gov.sk/4365968"/>
    <s v="https://www.crz.gov.sk/data/att/4365974_dokument1.pdf"/>
    <x v="47"/>
    <s v="Typ: Checkpoint 6500 NGTP,Porty:  4x 10Gbps SFP+ + 8x1Gbps LAN,VPN: neuvedené,VLAN: 1024 fyzických, 4096 virtuálnych,Podpora: IPv6+filter, IPv4 NAT, NAT64, NAT46, OSPFv2+v3, SNMPv2+v3, NTP, AD, RADIUS, LDAP, QoS, PIM-SM, PIM-SSM, PIM-DM, IGMP v2+v3, monitoring,Zaruka: 3 enterprise"/>
    <n v="96341.88"/>
    <n v="2"/>
    <n v="192683.76"/>
    <n v="17598.830000000002"/>
    <n v="60471.06"/>
    <n v="139860.215"/>
  </r>
  <r>
    <n v="1260"/>
    <s v="Rámcová dohoda"/>
    <n v="4365968"/>
    <s v="https://crz.gov.sk/4365968"/>
    <s v="https://www.crz.gov.sk/data/att/4365974_dokument1.pdf"/>
    <x v="47"/>
    <s v="Typ: Checkpoint 6500 NGTP + Maestro orchestrator 140,Porty:  4x 10Gbps SFP+ + 8x1Gbps LAN + 8x 100Gbps (orch.) + 48x10Gbps (orch.),VPN: neuvedené,VLAN: 1024 fyzických, 4096 virtuálnych,Podpora: IPv6+filter, IPv4 NAT, NAT64, NAT46, OSPFv2+v3, SNMPv2+v3, NTP, AD, RADIUS, LDAP, QoS, PIM-SM, PIM-SSM, PIM-DM, IGMP v2+v3, monitoring,Zaruka: 3 enterprise"/>
    <n v="131476.88"/>
    <n v="2"/>
    <n v="262953.76"/>
    <n v="17598.830000000002"/>
    <n v="60471.06"/>
    <n v="139860.215"/>
  </r>
  <r>
    <n v="1261"/>
    <s v="Rámcová dohoda"/>
    <n v="4365968"/>
    <s v="https://crz.gov.sk/4365968"/>
    <s v="https://www.crz.gov.sk/data/att/4365974_dokument1.pdf"/>
    <x v="5"/>
    <s v="Zariadenie na správu firewallov,Typ: SMART 1 mgmt 5050 appliance,PocetFW: 50,Zaruka: neuvedené"/>
    <n v="55615.86"/>
    <n v="1"/>
    <n v="55615.86"/>
    <n v="17.549999999999997"/>
    <n v="275.8"/>
    <n v="11191.057499999999"/>
  </r>
  <r>
    <n v="1262"/>
    <s v="Rámcová dohoda"/>
    <n v="4365968"/>
    <s v="https://crz.gov.sk/4365968"/>
    <s v="https://www.crz.gov.sk/data/att/4365974_dokument1.pdf"/>
    <x v="47"/>
    <s v="Typ: Checkpoint 6800 NGTP,Porty:  4x 10Gbps + 10x 1Gbps + 8x 1GbE FC,VPN: neuvedené,VLAN: 1024 fyzických, 4096 virtuálnych,Podpora: IPv6+filter, IPv4 NAT, NAT64, NAT46, OSPFv2+v3, SNMPv2+v3, NTP, AD, RADIUS, LDAP, QoS, PIM-SM, PIM-SSM, PIM-DM, IGMP v2+v3, monitoring,Zaruka: 3 enterprise"/>
    <n v="123040"/>
    <n v="2"/>
    <n v="246080"/>
    <n v="17598.830000000002"/>
    <n v="60471.06"/>
    <n v="139860.215"/>
  </r>
  <r>
    <n v="1263"/>
    <s v="Rámcová dohoda"/>
    <n v="4365968"/>
    <s v="https://crz.gov.sk/4365968"/>
    <s v="https://www.crz.gov.sk/data/att/4365974_dokument1.pdf"/>
    <x v="47"/>
    <s v="Typ: Checkpoint Maestro 2x6800 NGTP,Porty:  4+4x 10Gbps + 10+10x 1Gbps + 8+8x 1GbE FC + 8x 100Gbps (orch.) + 48x10Gbps (orch.),VPN: neuvedené,VLAN: 1024 fyzických, 4096 virtuálnych,Podpora: IPv6+filter, IPv4 NAT, NAT64, NAT46, OSPFv2+v3, SNMPv2+v3, NTP, AD, RADIUS, LDAP, QoS, PIM-SM, PIM-SSM, PIM-DM, IGMP v2+v3, monitoring,Zaruka: 3 enterprise"/>
    <n v="258587"/>
    <n v="1"/>
    <n v="258587"/>
    <n v="17598.830000000002"/>
    <n v="60471.06"/>
    <n v="139860.215"/>
  </r>
  <r>
    <n v="1264"/>
    <s v="Rámcová dohoda"/>
    <n v="4365968"/>
    <s v="https://crz.gov.sk/4365968"/>
    <s v="https://www.crz.gov.sk/data/att/4365974_dokument1.pdf"/>
    <x v="47"/>
    <s v="Typ: CISCO ASA 5525-X,Porty: 8x GE,VPN: 750 IPSec,VLAN: 200,Podpora: 3DES/AES 300Mbps, URL filter, IKE 1+2, SHA-2, IPv6+filter, IPv4 NAT, NAT64, OSPFv2+v3, SNMPv2+v3, NTP, RADIUS, LDAP, QoS, ochrana proti DoS, inšpekcia protokolov, ochrana proti IP spoofingu, PIM-SM, IGMP, IEEE 802.1q, monitoring,Zaruka: 3"/>
    <n v="11124.64"/>
    <n v="2"/>
    <n v="22249.279999999999"/>
    <n v="17598.830000000002"/>
    <n v="60471.06"/>
    <n v="139860.215"/>
  </r>
  <r>
    <n v="1265"/>
    <s v="Rámcová dohoda"/>
    <n v="4365968"/>
    <s v="https://crz.gov.sk/4365968"/>
    <s v="https://www.crz.gov.sk/data/att/4365974_dokument1.pdf"/>
    <x v="47"/>
    <s v="Typ: CISCO ASA 5545-X,Porty: 8x GE,VPN: 2500 IPSec,VLAN: 300,Podpora: 3DES/AES 400Mbps, URL filter, IKE 1+2, SHA-2, IPv6+filter, IPv4 NAT, NAT64, OSPFv2+v3, SNMPv2+v3, NTP, RADIUS, LDAP, QoS, ochrana proti DoS, inšpekcia protokolov, ochrana proti IP spoofingu, PIM-SM, IGMP, IEEE 802.1q, monitoring,Zaruka: 3"/>
    <n v="21537.84"/>
    <n v="2"/>
    <n v="43075.68"/>
    <n v="17598.830000000002"/>
    <n v="60471.06"/>
    <n v="139860.215"/>
  </r>
  <r>
    <n v="1266"/>
    <s v="Rámcová dohoda"/>
    <n v="4365968"/>
    <s v="https://crz.gov.sk/4365968"/>
    <s v="https://www.crz.gov.sk/data/att/4365974_dokument1.pdf"/>
    <x v="47"/>
    <s v="Typ: Fortigate 100E,Porty:  14x 1Gbps LAN,VPN: neuvedené,VLAN: neuvedené,Podpora: neuvedené,Zaruka: neuvedené + 24/7 zásah"/>
    <n v="5705.54"/>
    <n v="2"/>
    <n v="11411.08"/>
    <n v="17598.830000000002"/>
    <n v="60471.06"/>
    <n v="139860.215"/>
  </r>
  <r>
    <n v="1267"/>
    <s v="Rámcová dohoda"/>
    <n v="4365968"/>
    <s v="https://crz.gov.sk/4365968"/>
    <s v="https://www.crz.gov.sk/data/att/4365974_dokument1.pdf"/>
    <x v="47"/>
    <s v="Typ: Fortigate 1000D,Porty:  2x10Gbps + 16x 1Gbps SFP + 16x 1Gbps LAN,VPN: neuvedené,VLAN: neuvedené,Podpora: IPv4 + IPv6, NAT44, NAT444, NAT46, 4G,Zaruka: neuvedené + 24/7 zásah"/>
    <n v="58955.1"/>
    <n v="2"/>
    <n v="117910.2"/>
    <n v="17598.830000000002"/>
    <n v="60471.06"/>
    <n v="139860.215"/>
  </r>
  <r>
    <n v="1268"/>
    <s v="Rámcová dohoda"/>
    <n v="4365968"/>
    <s v="https://crz.gov.sk/4365968"/>
    <s v="https://www.crz.gov.sk/data/att/4365974_dokument1.pdf"/>
    <x v="47"/>
    <s v="Typ: Fortigate 1500D,Porty:  8x 10Gbps SFP + 16x 1Gbps SFP + 16x 1Gbps LAN,VPN: neuvedené,VLAN: neuvedené,Podpora: IPv4 + IPv6, NAT44, NAT444, NAT46, 5G,Zaruka: neuvedené + 24/7 zásah"/>
    <n v="85019.3"/>
    <n v="2"/>
    <n v="170038.6"/>
    <n v="17598.830000000002"/>
    <n v="60471.06"/>
    <n v="139860.215"/>
  </r>
  <r>
    <n v="1269"/>
    <s v="Rámcová dohoda"/>
    <n v="4365968"/>
    <s v="https://crz.gov.sk/4365968"/>
    <s v="https://www.crz.gov.sk/data/att/4365974_dokument1.pdf"/>
    <x v="5"/>
    <s v="Zariadenie na sledovanie trafficu,Typ: Flowmon Probe 1000,Zaruka: neuvedené + 1 rok podpora"/>
    <n v="7673.67"/>
    <n v="2"/>
    <n v="15347.34"/>
    <n v="17.549999999999997"/>
    <n v="275.8"/>
    <n v="11191.057499999999"/>
  </r>
  <r>
    <n v="1270"/>
    <s v="Rámcová dohoda"/>
    <n v="4365968"/>
    <s v="https://crz.gov.sk/4365968"/>
    <s v="https://www.crz.gov.sk/data/att/4365974_dokument1.pdf"/>
    <x v="5"/>
    <s v="Zariadenie na sledovanie trafficu,Typ: Flowmon Probe 4000,Zaruka: neuvedené + 1 rok podpora"/>
    <n v="13679.91"/>
    <n v="2"/>
    <n v="27359.82"/>
    <n v="17.549999999999997"/>
    <n v="275.8"/>
    <n v="11191.057499999999"/>
  </r>
  <r>
    <n v="1271"/>
    <s v="Rámcová dohoda"/>
    <n v="4365968"/>
    <s v="https://crz.gov.sk/4365968"/>
    <s v="https://www.crz.gov.sk/data/att/4365974_dokument1.pdf"/>
    <x v="47"/>
    <s v="Typ: Checkpoint DDoS Protector 20,Porty:  4x 40Gbps QSFP+ + 20x 10Gbps SFP+,VPN: neuvedené,VLAN: neuvedené,Podpora: VLAN tagging, L2TP, MPLS, GRE, GTP,Zaruka: 3 enterprise"/>
    <n v="169758.6"/>
    <n v="2"/>
    <n v="339517.2"/>
    <n v="17598.830000000002"/>
    <n v="60471.06"/>
    <n v="139860.215"/>
  </r>
  <r>
    <n v="1272"/>
    <s v="Rámcová dohoda"/>
    <n v="4365968"/>
    <s v="https://crz.gov.sk/4365968"/>
    <s v="https://www.crz.gov.sk/data/att/4365974_dokument1.pdf"/>
    <x v="5"/>
    <s v="Typ: Fidelis Network K2 Device,Porty: 4x 1Gbps LAN + Admin network + ILO,Proc.: Dual Intel Xeon Gold 6134 8-jadro 3.2GHz,RAM: 128GB,Disk: 6x HDD 3.6TB RAID5,Vyhotovenie: 1U,Zaruka: 3+24/7 onsite"/>
    <n v="548535.6"/>
    <n v="1"/>
    <n v="548535.6"/>
    <n v="17.549999999999997"/>
    <n v="275.8"/>
    <n v="11191.057499999999"/>
  </r>
  <r>
    <n v="1273"/>
    <s v="Rámcová dohoda"/>
    <n v="4365968"/>
    <s v="https://crz.gov.sk/4365968"/>
    <s v="https://www.crz.gov.sk/data/att/4365974_dokument1.pdf"/>
    <x v="5"/>
    <s v="Úložisko a podpora 10Gbps k sieťovému analyzátoru,Typ: Fidelis Collector Controller 10G + Collector XA4,Porty: 4x10Gbps + Admin + ILO,Kapacita: 4x SSD 240GB RAID1 + 22x HDD RAID10, spolu 13.2TB,Zaruka: 3+24/7 onsite"/>
    <n v="54138"/>
    <n v="1"/>
    <n v="54138"/>
    <n v="17.549999999999997"/>
    <n v="275.8"/>
    <n v="11191.057499999999"/>
  </r>
  <r>
    <n v="1274"/>
    <s v="Rámcová dohoda"/>
    <n v="4365968"/>
    <s v="https://crz.gov.sk/4365968"/>
    <s v="https://www.crz.gov.sk/data/att/4365974_dokument1.pdf"/>
    <x v="5"/>
    <s v="Sonda pre sieťový analyzátor,Typ: Fidelis Network Device,Rychl.: do 1Gbps,Zaruka: 3+24/7 onsite"/>
    <n v="12670.6"/>
    <n v="3"/>
    <n v="38011.800000000003"/>
    <n v="17.549999999999997"/>
    <n v="275.8"/>
    <n v="11191.057499999999"/>
  </r>
  <r>
    <n v="1275"/>
    <s v="Rámcová dohoda"/>
    <n v="4365968"/>
    <s v="https://crz.gov.sk/4365968"/>
    <s v="https://www.crz.gov.sk/data/att/4365974_dokument1.pdf"/>
    <x v="5"/>
    <s v="Sonda pre sieťový analyzátor,Typ: Fidelis Network Device,Rychl.: do 5Gbps,Zaruka: 3+24/7 onsite"/>
    <n v="24189.38"/>
    <n v="2"/>
    <n v="48378.76"/>
    <n v="17.549999999999997"/>
    <n v="275.8"/>
    <n v="11191.057499999999"/>
  </r>
  <r>
    <n v="1276"/>
    <s v="zmluva o dielo"/>
    <n v="5874553"/>
    <s v="https://crz.gov.sk/zmluva/5874553"/>
    <s v="https://www.crz.gov.sk/data/att/2961120.pdf"/>
    <x v="67"/>
    <s v="Typ: iiyama ProLite TE7504MIS-B1AG,Disp.:75&quot; 4K Ultra HD 3840x2160 75Hz,Zaruka:2 "/>
    <n v="3488"/>
    <n v="1"/>
    <n v="3488"/>
    <n v="3488"/>
    <n v="3488"/>
    <n v="3488"/>
  </r>
  <r>
    <n v="1277"/>
    <s v="zmluva o dielo"/>
    <n v="5874553"/>
    <s v="https://crz.gov.sk/zmluva/5874553"/>
    <s v="https://www.crz.gov.sk/data/att/2961120.pdf"/>
    <x v="0"/>
    <s v="Typ: HP Omen GT13-0009nc,RAM: 64 GB 3200MHz DDR4,Disk: 1TB SSD,OS: Windows 10,Zaruka: 2"/>
    <n v="3468"/>
    <n v="1"/>
    <n v="3468"/>
    <n v="680"/>
    <n v="991"/>
    <n v="1485.8333333333335"/>
  </r>
  <r>
    <n v="1278"/>
    <s v="zmluva o dielo"/>
    <n v="5874553"/>
    <s v="https://crz.gov.sk/zmluva/5874553"/>
    <s v="https://www.crz.gov.sk/data/att/2961120.pdf"/>
    <x v="59"/>
    <s v="Typ: HTC Vive Pro Full kit,Rozsah: 360°,Disp.: Amoled 3,5&quot; 2280x1600,Batéria: 10 500 mAh,Zaruka: 2"/>
    <n v="2640"/>
    <n v="1"/>
    <n v="2640"/>
    <n v="595"/>
    <n v="952.5"/>
    <n v="1890.4166666666667"/>
  </r>
  <r>
    <n v="1279"/>
    <s v="zmluva o dielo"/>
    <n v="5874553"/>
    <s v="https://crz.gov.sk/zmluva/5874553"/>
    <s v="https://www.crz.gov.sk/data/att/2961120.pdf"/>
    <x v="59"/>
    <s v="Typ: VRgineers lnc. XTAL 8K,Disp: 7680x2160 75Hz 4K 120Hz QHD,Rozsah: 180°,Zaruka:2"/>
    <n v="9200"/>
    <n v="1"/>
    <n v="9200"/>
    <n v="595"/>
    <n v="952.5"/>
    <n v="1890.4166666666667"/>
  </r>
  <r>
    <n v="1280"/>
    <s v="zmluva o dielo"/>
    <n v="5874553"/>
    <s v="https://crz.gov.sk/zmluva/5874553"/>
    <s v="https://www.crz.gov.sk/data/att/2961120.pdf"/>
    <x v="59"/>
    <s v="Typ: Facebook Oculus Quest 2,Rozsah:360°,RAM: 6GB,Disp.: 1920x1832,Disk: 64GB,Zaruka:2"/>
    <n v="550"/>
    <n v="4"/>
    <n v="2200"/>
    <n v="595"/>
    <n v="952.5"/>
    <n v="1890.4166666666667"/>
  </r>
  <r>
    <n v="1281"/>
    <s v="Rámcová dohoda č. 145/2019 „Server a hardvér“"/>
    <n v="4295037"/>
    <s v="https://crz.gov.sk/4295037"/>
    <s v="https://www.crz.gov.sk/data/att/4295041_dokument1.pdf"/>
    <x v="0"/>
    <s v="Typ: OfficePro 3050A, RAM: 16GB DDR4 2400MHz, Disk: 512 GB SSD 4TB HDD 5400rpm, VGA: MSI Radeon RX 570, Proc.: 12-jadro AMD Ryzen Threadripper 1920X  3,5GHz,Zaruka: 2"/>
    <n v="1800"/>
    <n v="12"/>
    <n v="21600"/>
    <n v="680"/>
    <n v="991"/>
    <n v="1485.8333333333335"/>
  </r>
  <r>
    <n v="1282"/>
    <s v="Rámcová dohoda č. 145/2019 „Server a hardvér“"/>
    <n v="4295037"/>
    <s v="https://crz.gov.sk/4295037"/>
    <s v="https://www.crz.gov.sk/data/att/4295041_dokument1.pdf"/>
    <x v="2"/>
    <s v="Typ: LG LED 27UD88-W,Velkost: 27&quot;, Rozlisenie: 3840x2160px, Jas: 350cd/m2,Zaruka: 2"/>
    <n v="336"/>
    <n v="24"/>
    <n v="8064"/>
    <n v="141.67500000000001"/>
    <n v="194"/>
    <n v="266.75"/>
  </r>
  <r>
    <n v="1283"/>
    <s v="Rámcová dohoda č. 145/2019 „Server a hardvér“"/>
    <n v="4295037"/>
    <s v="https://crz.gov.sk/4295037"/>
    <s v="https://www.crz.gov.sk/data/att/4295041_dokument1.pdf"/>
    <x v="39"/>
    <s v="Typ: Logitech MK345, Prip: Bezdrôtová,Zaruka: 2"/>
    <n v="22"/>
    <n v="12"/>
    <n v="264"/>
    <n v="5.1899999999999995"/>
    <n v="8.5"/>
    <n v="21.95"/>
  </r>
  <r>
    <n v="1284"/>
    <s v="Rámcová dohoda č. 145/2019 „Server a hardvér“"/>
    <n v="4295037"/>
    <s v="https://crz.gov.sk/4295037"/>
    <s v="https://www.crz.gov.sk/data/att/4295041_dokument1.pdf"/>
    <x v="38"/>
    <s v="Typ: Logitech MK345,Prip: Bezdrôtová,Zaruka: 2"/>
    <n v="14"/>
    <n v="12"/>
    <n v="168"/>
    <n v="4.25"/>
    <n v="6.12"/>
    <n v="13.55"/>
  </r>
  <r>
    <n v="1285"/>
    <s v="Rámcová dohoda č. 145/2019 „Server a hardvér“"/>
    <n v="4295037"/>
    <s v="https://crz.gov.sk/4295037"/>
    <s v="https://www.crz.gov.sk/data/att/4295041_dokument1.pdf"/>
    <x v="9"/>
    <s v="Typ: QNAP TS-431X-8G,RAM: 8GB DDR3,Proc.: Alpine Al212 Dual core 1,7GHz,Disk: 4x 2,5&quot;/3,5&quot; SATA 6Gb/s,Zaruka: 2"/>
    <n v="1448"/>
    <n v="3"/>
    <n v="4344"/>
    <n v="2032"/>
    <n v="19360"/>
    <n v="87628.37"/>
  </r>
  <r>
    <n v="1286"/>
    <s v="Rámcová dohoda č. 145/2019 „Server a hardvér“"/>
    <n v="4295037"/>
    <s v="https://crz.gov.sk/4295037"/>
    <s v="https://www.crz.gov.sk/data/att/4295041_dokument1.pdf"/>
    <x v="3"/>
    <s v="Typ: OKI C843dn,Formát: A3,Rozlisenie: 1200dpi,Zaruka: 2"/>
    <n v="1114"/>
    <n v="2"/>
    <n v="2228"/>
    <n v="229.78"/>
    <n v="424.2"/>
    <n v="1030.3"/>
  </r>
  <r>
    <n v="1287"/>
    <s v="Rámcová dohoda č. 145/2019 „Server a hardvér“"/>
    <n v="4295037"/>
    <s v="https://crz.gov.sk/4295037"/>
    <s v="https://www.crz.gov.sk/data/att/4295041_dokument1.pdf"/>
    <x v="3"/>
    <s v="Typ: HP Designjet T520,Technologia: Atrament,Rozlisenie: 1200 dpi,Formát: A0,Zaruka: 2"/>
    <n v="1529"/>
    <n v="2"/>
    <n v="3058"/>
    <n v="229.78"/>
    <n v="424.2"/>
    <n v="1030.3"/>
  </r>
  <r>
    <n v="1288"/>
    <s v="Rámcová dohoda č. 145/2019 „Server a hardvér“"/>
    <n v="4295037"/>
    <s v="https://crz.gov.sk/4295037"/>
    <s v="https://www.crz.gov.sk/data/att/4295041_dokument1.pdf"/>
    <x v="10"/>
    <s v="Typ: PowerEdge VRTX,Výška: 5U,Kapacita: 25x 2,5&quot; disk,Zaruka: 2"/>
    <n v="14079"/>
    <n v="2"/>
    <n v="28158"/>
    <n v="98.7"/>
    <n v="172.56"/>
    <n v="2312.5"/>
  </r>
  <r>
    <n v="1289"/>
    <s v="Rámcová dohoda č. 145/2019 „Server a hardvér“"/>
    <n v="4295037"/>
    <s v="https://crz.gov.sk/4295037"/>
    <s v="https://www.crz.gov.sk/data/att/4295041_dokument1.pdf"/>
    <x v="8"/>
    <s v="Typ: PowerEdge M640,RAM: 8x 32GB RDIMM 2666MT/s,Disk: 2x 120GB SSD,Zaruka: 2"/>
    <n v="7749.25"/>
    <n v="6"/>
    <n v="46495.5"/>
    <n v="7209.15"/>
    <n v="15534.78"/>
    <n v="29950.799999999999"/>
  </r>
  <r>
    <n v="1290"/>
    <s v="Rámcová dohoda č. 145/2019 „Server a hardvér“"/>
    <n v="4295037"/>
    <s v="https://crz.gov.sk/4295037"/>
    <s v="https://www.crz.gov.sk/data/att/4295041_dokument1.pdf"/>
    <x v="68"/>
    <s v="Typ: Dell NetShelter SX 42U, Vyska: 42U,Zaruka: 2"/>
    <n v="1400"/>
    <n v="1"/>
    <n v="1400"/>
    <n v="1400"/>
    <n v="1400"/>
    <n v="1400"/>
  </r>
  <r>
    <n v="1291"/>
    <s v="Rámcová dohoda č. 145/2019 „Server a hardvér“"/>
    <n v="4295037"/>
    <s v="https://crz.gov.sk/4295037"/>
    <s v="https://www.crz.gov.sk/data/att/4295041_dokument1.pdf"/>
    <x v="10"/>
    <s v="Typ: Dell Smart-UPS SRT 3000VA RM,Vykon: 2700W,Zaruka: 3"/>
    <n v="2300"/>
    <n v="1"/>
    <n v="2300"/>
    <n v="98.7"/>
    <n v="172.56"/>
    <n v="2312.5"/>
  </r>
  <r>
    <n v="1292"/>
    <s v="Rámcová dohoda č. 145/2019 „Server a hardvér“"/>
    <n v="4295037"/>
    <s v="https://crz.gov.sk/4295037"/>
    <s v="https://www.crz.gov.sk/data/att/4295041_dokument1.pdf"/>
    <x v="2"/>
    <s v="Typ: Dell 18,5in LED KMM, Zásuvný s EN klávesnicou,Zaruka: 2"/>
    <n v="1070"/>
    <n v="1"/>
    <n v="1070"/>
    <n v="141.67500000000001"/>
    <n v="194"/>
    <n v="266.75"/>
  </r>
  <r>
    <n v="1293"/>
    <s v="Rámcová dohoda č. 145/2019 „Server a hardvér“"/>
    <n v="4295037"/>
    <s v="https://crz.gov.sk/4295037"/>
    <s v="https://www.crz.gov.sk/data/att/4295041_dokument1.pdf"/>
    <x v="10"/>
    <s v="Typ: Synology RS3617RPxs, Kapacita: 12x2,5&quot;/3,5&quot; HDD,RAM: 8GB,Proc.: Intel Xeon D-1521 4 jadrá, Disk: 12x 6TB 7200rpm SATA HDD,Zdroj: 2x 500W,Zaruka 3 HDD/ 5 NAS"/>
    <n v="5103.13"/>
    <n v="2"/>
    <n v="10206.26"/>
    <n v="98.7"/>
    <n v="172.56"/>
    <n v="2312.5"/>
  </r>
  <r>
    <n v="1294"/>
    <s v="Kúpna  zmluva"/>
    <n v="5752312"/>
    <s v="https://crz.gov.sk/zmluva/5752312"/>
    <s v="https://www.crz.gov.sk/data/att/2884857.pdf, https://www.crz.gov.sk/data/att/2884858.pdf"/>
    <x v="1"/>
    <s v="Typ: Lenovo ThinkPad P14s Gen1, RAM: 16GB, Proc.: passmark 15000, Disk: SSD 512GB, Disp: FHD,Zaruka: 3"/>
    <n v="1599"/>
    <n v="250"/>
    <n v="399750"/>
    <n v="783.15"/>
    <n v="1196.3"/>
    <n v="1455.5"/>
  </r>
  <r>
    <n v="1295"/>
    <s v="Kúpna  zmluva"/>
    <n v="5752312"/>
    <s v="https://crz.gov.sk/zmluva/5752312"/>
    <s v="https://www.crz.gov.sk/data/att/2884857.pdf, https://www.crz.gov.sk/data/att/2884858.pdf"/>
    <x v="5"/>
    <s v="Typ: Lenovo ThinkPad Thunderbolt™ 3 DOCK GEN2,Porty: 2x USB 2.0 3x USB 3.1 1x USB C,Zaruka: 3"/>
    <n v="200"/>
    <n v="250"/>
    <n v="50000"/>
    <n v="17.549999999999997"/>
    <n v="275.8"/>
    <n v="11191.057499999999"/>
  </r>
  <r>
    <n v="1296"/>
    <s v="Kúpna  zmluva"/>
    <n v="5752312"/>
    <s v="https://crz.gov.sk/zmluva/5752312"/>
    <s v="https://www.crz.gov.sk/data/att/2884857.pdf, https://www.crz.gov.sk/data/att/2884858.pdf"/>
    <x v="39"/>
    <s v="Typ: neuvedené,Rozhranie: CZ+SK,Zaruka: 1"/>
    <n v="10"/>
    <n v="250"/>
    <n v="2500"/>
    <n v="5.1899999999999995"/>
    <n v="8.5"/>
    <n v="21.95"/>
  </r>
  <r>
    <n v="1297"/>
    <s v="Kúpna  zmluva"/>
    <n v="5752312"/>
    <s v="https://crz.gov.sk/zmluva/5752312"/>
    <s v="https://www.crz.gov.sk/data/att/2884857.pdf, https://www.crz.gov.sk/data/att/2884858.pdf"/>
    <x v="2"/>
    <s v="Typ: Lenovo ThinkVision T25d-10,Rozlisenie: 1920x1200px, Frekv.: 60Hz, Velkost: 24&quot;,Kontrast: 1000:1,Zaruka: 3"/>
    <n v="180"/>
    <n v="250"/>
    <n v="45000"/>
    <n v="141.67500000000001"/>
    <n v="194"/>
    <n v="266.75"/>
  </r>
  <r>
    <n v="1298"/>
    <s v="Kúpna zmluva"/>
    <n v="4798515"/>
    <s v="https://crz.gov.sk/4798515"/>
    <s v="https://www.crz.gov.sk/data/att/4798517_dokument1.pdf"/>
    <x v="8"/>
    <s v="Typ: HPE DL380 Gen10, Proc.: Intel Xeon-Silver 4208 (2.1GHz/8-core/85W), RAM: 64GB,Zaruka: 3"/>
    <n v="16600"/>
    <n v="2"/>
    <n v="33200"/>
    <n v="7209.15"/>
    <n v="15534.78"/>
    <n v="29950.799999999999"/>
  </r>
  <r>
    <n v="1299"/>
    <s v="Kúpna zmluva"/>
    <n v="4798515"/>
    <s v="https://crz.gov.sk/4798515"/>
    <s v="https://www.crz.gov.sk/data/att/4798517_dokument1.pdf"/>
    <x v="18"/>
    <s v="Typ: HPE SN6000B, Porty: 48x 16Gbps, Uroven: neuvedene, Vyhotovenie: neuvedene, Zaruka: 3"/>
    <n v="47550"/>
    <n v="2"/>
    <n v="95100"/>
    <n v="1759.125"/>
    <n v="3923.7249999999999"/>
    <n v="12062.504999999999"/>
  </r>
  <r>
    <n v="1300"/>
    <s v="Kúpna zmluva"/>
    <n v="4798515"/>
    <s v="https://crz.gov.sk/4798515"/>
    <s v="https://www.crz.gov.sk/data/att/4798517_dokument1.pdf"/>
    <x v="18"/>
    <s v="Typ: Catalyst 9500, Porty: 16x 1Gbps, Uroven: neuvedene, Vyhotovenie: neuvedene, Zaruka: 3"/>
    <n v="24175"/>
    <n v="4"/>
    <n v="96700"/>
    <n v="1759.125"/>
    <n v="3923.7249999999999"/>
    <n v="12062.504999999999"/>
  </r>
  <r>
    <n v="1301"/>
    <s v="Kúpna zmluva"/>
    <n v="4049710"/>
    <s v="https://crz.gov.sk/4049710"/>
    <s v="https://www.crz.gov.sk/data/att/4049758_dokument1.pdf"/>
    <x v="1"/>
    <s v="Typ: neuvedene, Proc.: 4-jadro passmark 7500,Disk: SSD NVMe 256GB,RAM: 8GB, Disp: FHD matny, Kontrast:700:1,Zaruka: 3"/>
    <n v="865"/>
    <n v="130"/>
    <n v="112450"/>
    <n v="783.15"/>
    <n v="1196.3"/>
    <n v="1455.5"/>
  </r>
  <r>
    <n v="1302"/>
    <s v="Kúpna zmluva"/>
    <n v="4049710"/>
    <s v="https://crz.gov.sk/4049710"/>
    <s v="https://www.crz.gov.sk/data/att/4049758_dokument1.pdf"/>
    <x v="2"/>
    <s v="Typ: neuvedene, Velkost: 23.8&quot; 1920x1080px,Frekv.: 60Hz,Odozva: 4ms,Zaruka: 3"/>
    <n v="145"/>
    <n v="130"/>
    <n v="18850"/>
    <n v="141.67500000000001"/>
    <n v="194"/>
    <n v="266.75"/>
  </r>
  <r>
    <n v="1303"/>
    <s v="Kúpna zmluva"/>
    <n v="4049710"/>
    <s v="https://crz.gov.sk/4049710"/>
    <s v="https://www.crz.gov.sk/data/att/4049758_dokument1.pdf"/>
    <x v="5"/>
    <s v="Typ: neuvedene, Porty: 2x USB 3.1 + 2x USB 2.0 1X VGA,Zdroj: 90W,Zaruka: 3"/>
    <n v="155"/>
    <n v="130"/>
    <n v="20150"/>
    <n v="17.549999999999997"/>
    <n v="275.8"/>
    <n v="11191.057499999999"/>
  </r>
  <r>
    <n v="1304"/>
    <s v="Nákup výpočtovej techniky - počítače, monitory, tlačiarne"/>
    <n v="3932451"/>
    <s v="https://crz.gov.sk/3932451"/>
    <s v="https://www.crz.gov.sk/data/att/3932452_dokument.pdf"/>
    <x v="0"/>
    <s v="Typ: HP ProDesk 600 G4,RAM: 8GB,Disk: 500GB 7200rpm, Proc.: 4-jadro Intel Core i5 7500 7Gen 3.4,Zaruka: 3"/>
    <n v="701"/>
    <n v="143"/>
    <n v="100243"/>
    <n v="680"/>
    <n v="991"/>
    <n v="1485.8333333333335"/>
  </r>
  <r>
    <n v="1305"/>
    <s v="Nákup výpočtovej techniky - počítače, monitory, tlačiarne"/>
    <n v="3932451"/>
    <s v="https://crz.gov.sk/3932451"/>
    <s v="https://www.crz.gov.sk/data/att/3932452_dokument.pdf"/>
    <x v="0"/>
    <s v="Typ: HP EliteDesk 800 G4,RAM: 16GB,Disk: 1TB 7200 rpm + 256GB M.2,Zaruka: 3"/>
    <n v="1169"/>
    <n v="5"/>
    <n v="5845"/>
    <n v="680"/>
    <n v="991"/>
    <n v="1485.8333333333335"/>
  </r>
  <r>
    <n v="1306"/>
    <s v="Nákup výpočtovej techniky - počítače, monitory, tlačiarne"/>
    <n v="3932451"/>
    <s v="https://crz.gov.sk/3932451"/>
    <s v="https://www.crz.gov.sk/data/att/3932452_dokument.pdf"/>
    <x v="2"/>
    <s v="Typ: HP VH240a,Velkost: 23.8&quot;, Rozlisenie: 1920x1080px,Odozva: 7ms, Frekv.: 60Hz, Povrch: antireflexny,Zaruka: 3"/>
    <n v="125"/>
    <n v="40"/>
    <n v="5000"/>
    <n v="141.67500000000001"/>
    <n v="194"/>
    <n v="266.75"/>
  </r>
  <r>
    <n v="1307"/>
    <s v="Nákup výpočtovej techniky - počítače, monitory, tlačiarne"/>
    <n v="3932451"/>
    <s v="https://crz.gov.sk/3932451"/>
    <s v="https://www.crz.gov.sk/data/att/3932452_dokument.pdf"/>
    <x v="2"/>
    <s v="Typ: Dell S2718H, Velkost:27&quot;,Rozlisenie: 1820x1080px,Frekv.: 60Hz,Zaruka: 3"/>
    <n v="220"/>
    <n v="10"/>
    <n v="2200"/>
    <n v="141.67500000000001"/>
    <n v="194"/>
    <n v="266.75"/>
  </r>
  <r>
    <n v="1308"/>
    <s v="Nákup výpočtovej techniky - počítače, monitory, tlačiarne"/>
    <n v="3932451"/>
    <s v="https://crz.gov.sk/3932451"/>
    <s v="https://www.crz.gov.sk/data/att/3932452_dokument.pdf"/>
    <x v="1"/>
    <s v="Typ: HP 650g4,Disp: FHD 15.6&quot;,Proc.: 4-jadro 1.8GHz,RAM: 8GB,Disk: HDD 1TB 7200rpm,VGA: zdiel,Zaruka: 3"/>
    <n v="1164"/>
    <n v="10"/>
    <n v="11640"/>
    <n v="783.15"/>
    <n v="1196.3"/>
    <n v="1455.5"/>
  </r>
  <r>
    <n v="1309"/>
    <s v="Nákup výpočtovej techniky - počítače, monitory, tlačiarne"/>
    <n v="3932451"/>
    <s v="https://crz.gov.sk/3932451"/>
    <s v="https://www.crz.gov.sk/data/att/3932452_dokument.pdf"/>
    <x v="1"/>
    <s v="Typ: HP 640g4,Disp: FHD 14&quot;,Proc.: 4-jadro 1.8GHz,RAM: 16GB,Disk: HDD 1TB 7200rpm,VGA: zdiel,Zaruka: 3"/>
    <n v="1338"/>
    <n v="10"/>
    <n v="13380"/>
    <n v="783.15"/>
    <n v="1196.3"/>
    <n v="1455.5"/>
  </r>
  <r>
    <n v="1310"/>
    <s v="Nákup výpočtovej techniky - počítače, monitory, tlačiarne"/>
    <n v="3932451"/>
    <s v="https://crz.gov.sk/3932451"/>
    <s v="https://www.crz.gov.sk/data/att/3932452_dokument.pdf"/>
    <x v="4"/>
    <s v="Typ: Minolta Bizhub C308, Format: A3,Zaruka: 3"/>
    <n v="3327.6"/>
    <n v="5"/>
    <n v="16638"/>
    <n v="393.94499999999999"/>
    <n v="710.01499999999999"/>
    <n v="2552.0574999999999"/>
  </r>
  <r>
    <n v="1311"/>
    <s v="Nákup výpočtovej techniky - počítače, monitory, tlačiarne"/>
    <n v="3932451"/>
    <s v="https://crz.gov.sk/3932451"/>
    <s v="https://www.crz.gov.sk/data/att/3932452_dokument.pdf"/>
    <x v="3"/>
    <s v="Typ: HP LaserJet Pro M402n,Format: A4, Rozlisenie: neuvedene,Zaruka: 3"/>
    <n v="193.2"/>
    <n v="10"/>
    <n v="1932"/>
    <n v="229.78"/>
    <n v="424.2"/>
    <n v="1030.3"/>
  </r>
  <r>
    <n v="1312"/>
    <s v="Nákup výpočtovej techniky - počítače, monitory, tlačiarne"/>
    <n v="3932451"/>
    <s v="https://crz.gov.sk/3932451"/>
    <s v="https://www.crz.gov.sk/data/att/3932452_dokument.pdf"/>
    <x v="3"/>
    <s v="Typ: HP LaserJet Pro MFP M26nw,Fromat: A4,Rozlisenie: neuvedene,Zaruka: 3"/>
    <n v="148.80000000000001"/>
    <n v="5"/>
    <n v="744"/>
    <n v="229.78"/>
    <n v="424.2"/>
    <n v="1030.3"/>
  </r>
  <r>
    <n v="1313"/>
    <s v="Nákup výpočtovej techniky - počítače, monitory, tlačiarne"/>
    <n v="3932451"/>
    <s v="https://crz.gov.sk/3932451"/>
    <s v="https://www.crz.gov.sk/data/att/3932452_dokument.pdf"/>
    <x v="6"/>
    <s v="Typ: Epson WorkForce DS-1660W,Rozlisenie: 600dpi,Obojstranne skenovanie: ano,Rozhranie: USB + WIFI,Zaruka: 3"/>
    <n v="252"/>
    <n v="10"/>
    <n v="2520"/>
    <n v="112.19999999999999"/>
    <n v="252"/>
    <n v="2310"/>
  </r>
  <r>
    <n v="1314"/>
    <s v="Nákup výpočtovej techniky - počítače, monitory, tlačiarne"/>
    <n v="3932451"/>
    <s v="https://crz.gov.sk/3932451"/>
    <s v="https://www.crz.gov.sk/data/att/3932452_dokument.pdf"/>
    <x v="14"/>
    <s v="Typ: Seagate Expansion Desktop,Kapacita: 2TB, Externy, Zaruka: 3"/>
    <n v="95"/>
    <n v="15"/>
    <n v="1425"/>
    <n v="55.5"/>
    <n v="91.88"/>
    <n v="148.36000000000001"/>
  </r>
  <r>
    <n v="1315"/>
    <s v="Nákup výpočtovej techniky - počítače, monitory, tlačiarne"/>
    <n v="3932451"/>
    <s v="https://crz.gov.sk/3932451"/>
    <s v="https://www.crz.gov.sk/data/att/3932452_dokument.pdf"/>
    <x v="32"/>
    <s v="Typ: Kingston DataTraveler 100 G3,Kapacita: 16GB,Zaruka: 3"/>
    <n v="3.3"/>
    <n v="50"/>
    <n v="165"/>
    <n v="4.9000000000000004"/>
    <n v="8.4"/>
    <n v="14"/>
  </r>
  <r>
    <n v="1316"/>
    <s v="Zmluva o dodaní tovarov a poskytnutí súvisiacich služieb"/>
    <n v="5017846"/>
    <s v="https://crz.gov.sk/zmluva/5017846"/>
    <s v="https://www.crz.gov.sk/data/att/2445570.pdf"/>
    <x v="12"/>
    <s v="Typ: Samsung Galaxy Tab A10.1,Proc.:1,8GHz,RAM: 2GB,Disk:32GB,OS: Android,Rozlisenie: 1920x1200,Kamera: 8MPx,Bateria: 6150mAh,Zaruka: 2"/>
    <n v="254"/>
    <n v="6000"/>
    <n v="1524000"/>
    <n v="307.64999999999998"/>
    <n v="533.63"/>
    <n v="761.32"/>
  </r>
  <r>
    <n v="1317"/>
    <s v="Kúpna zmluva č. 2019/214 – Výpočtová technika a periférie"/>
    <n v="3938617"/>
    <s v="https://crz.gov.sk/3938617"/>
    <s v="https://www.crz.gov.sk/data/att/3938619_dokument1.pdf"/>
    <x v="3"/>
    <s v="Typ: HP PageWide Enteprise Color MFP 586dn,Format: A4,Rozlisenie: 600dpi, Farba: ano,Zaruka: 5"/>
    <n v="2465"/>
    <n v="1"/>
    <n v="2465"/>
    <n v="229.78"/>
    <n v="424.2"/>
    <n v="1030.3"/>
  </r>
  <r>
    <n v="1318"/>
    <s v="Kúpna zmluva č. 2019/214 – Výpočtová technika a periférie"/>
    <n v="3938617"/>
    <s v="https://crz.gov.sk/3938617"/>
    <s v="https://www.crz.gov.sk/data/att/3938619_dokument1.pdf"/>
    <x v="3"/>
    <s v="Typ: HP PageWide 777z,Format: A3,Farba: ano,Rozlisenie: 600dpi,Zaruka: 5"/>
    <n v="4550"/>
    <n v="1"/>
    <n v="4550"/>
    <n v="229.78"/>
    <n v="424.2"/>
    <n v="1030.3"/>
  </r>
  <r>
    <n v="1319"/>
    <s v="Kúpna zmluva č. 2019/214 – Výpočtová technika a periférie"/>
    <n v="3938617"/>
    <s v="https://crz.gov.sk/3938617"/>
    <s v="https://www.crz.gov.sk/data/att/3938619_dokument1.pdf"/>
    <x v="0"/>
    <s v="Typ: HP 705 G4,Proc.: 4-jadro passmark: 5677,RAM: 4GB,Disk: 500GB HDD 7200 rpm,OS: Windows 10 Pro SK 64,Zaruka: 5"/>
    <n v="800"/>
    <n v="760"/>
    <n v="608000"/>
    <n v="680"/>
    <n v="991"/>
    <n v="1485.8333333333335"/>
  </r>
  <r>
    <n v="1320"/>
    <s v="Kúpna zmluva č. 2019/214 – Výpočtová technika a periférie"/>
    <n v="3938617"/>
    <s v="https://crz.gov.sk/3938617"/>
    <s v="https://www.crz.gov.sk/data/att/3938619_dokument1.pdf"/>
    <x v="0"/>
    <s v="Typ: HP 705 D4,Proc.: passmark 8060,RAM: 8GB,Disk: 256 GB SSD, OS: Windows 10 Pro SK,Zaruka: 5"/>
    <n v="993"/>
    <n v="200"/>
    <n v="198600"/>
    <n v="680"/>
    <n v="991"/>
    <n v="1485.8333333333335"/>
  </r>
  <r>
    <n v="1321"/>
    <s v="Kúpna zmluva č. 2019/214 – Výpočtová technika a periférie"/>
    <n v="3938617"/>
    <s v="https://crz.gov.sk/3938617"/>
    <s v="https://www.crz.gov.sk/data/att/3938619_dokument1.pdf"/>
    <x v="2"/>
    <s v="Typ: HP EliteDixplax E243,Velkost: 23.8&quot;,Kontrast: 1000:1,Rozlisenie: 1920x1080px,Frek.: 60Hz,Odozva: 5 ms,Zaruka: 5"/>
    <n v="175"/>
    <n v="760"/>
    <n v="133000"/>
    <n v="141.67500000000001"/>
    <n v="194"/>
    <n v="266.75"/>
  </r>
  <r>
    <n v="1322"/>
    <s v="Kúpna zmluva č. 2019/214 – Výpočtová technika a periférie"/>
    <n v="3938617"/>
    <s v="https://crz.gov.sk/3938617"/>
    <s v="https://www.crz.gov.sk/data/att/3938619_dokument1.pdf"/>
    <x v="2"/>
    <s v="Typ: HP EliteDixplax E243i,Velkost: 24&quot;,Kontrast: 1000:1,Rozlisenie: 1920x1080px,Frek.: 60Hz, Odozva: 5ms,Zaruka: 5"/>
    <n v="219"/>
    <n v="200"/>
    <n v="43800"/>
    <n v="141.67500000000001"/>
    <n v="194"/>
    <n v="266.75"/>
  </r>
  <r>
    <n v="1323"/>
    <s v="Kúpna zmluva č. OVO1-2019/000486-002"/>
    <n v="4313122"/>
    <s v="https://crz.gov.sk/4313122"/>
    <s v="https://www.crz.gov.sk/data/att/4313125_dokument1.pdf"/>
    <x v="0"/>
    <s v="Typ: HP Z4 G4,Proc.: 10-jadro passmark 21600,RAM: 32 GB,Disk: SSD 512 GB HDD 4TB 7200 rpm,"/>
    <n v="5451"/>
    <n v="6"/>
    <n v="32706"/>
    <n v="680"/>
    <n v="991"/>
    <n v="1485.8333333333335"/>
  </r>
  <r>
    <n v="1324"/>
    <s v="Kúpna zmluva č. OVO1-2019/000486-002"/>
    <n v="4313122"/>
    <s v="https://crz.gov.sk/4313122"/>
    <s v="https://www.crz.gov.sk/data/att/4313125_dokument1.pdf"/>
    <x v="3"/>
    <s v="Typ: Xerox VersaLink C7030_S,Farba: ano,Technol.: laser,Skener: ano,Format: A3,Rozl.: 1200 dpi,Zaruka: 2"/>
    <n v="2620"/>
    <n v="8"/>
    <n v="20960"/>
    <n v="229.78"/>
    <n v="424.2"/>
    <n v="1030.3"/>
  </r>
  <r>
    <n v="1325"/>
    <s v="Kúpna zmluva č. OVO1-2019/000486-002"/>
    <n v="4313122"/>
    <s v="https://crz.gov.sk/4313122"/>
    <s v="https://www.crz.gov.sk/data/att/4313125_dokument1.pdf"/>
    <x v="50"/>
    <s v="Typ: Triumph Board 65&quot;,Velkost: 65&quot;,Zaruka: 2"/>
    <n v="2700"/>
    <n v="1"/>
    <n v="2700"/>
    <n v="2700"/>
    <n v="2700"/>
    <n v="2750"/>
  </r>
  <r>
    <n v="1326"/>
    <s v="Kúpna zmluva č. OVO1-2019/000486-002"/>
    <n v="4313122"/>
    <s v="https://crz.gov.sk/4313122"/>
    <s v="https://www.crz.gov.sk/data/att/4313125_dokument1.pdf"/>
    <x v="7"/>
    <s v="Typ: Epson EB-2142W,Technol.: 3LCD,Rozlisenie: 1280x800px,Svietivost: 4200lm,Kontrast: 15000:1,Zaruka: 2"/>
    <n v="1000"/>
    <n v="1"/>
    <n v="1000"/>
    <n v="709.95"/>
    <n v="1000"/>
    <n v="5171.4583333333339"/>
  </r>
  <r>
    <n v="1327"/>
    <s v="Kúpna zmluva č. OVO1-2019/000472-016"/>
    <n v="4178604"/>
    <s v="https://crz.gov.sk/4178604"/>
    <s v="https://www.crz.gov.sk/data/att/4178609_dokument1.pdf"/>
    <x v="2"/>
    <s v="Typ: DELL P2319H, Velkost: 23&quot;,Rozl.: 1920x1280px,Kontrast: 1000:1,Frekv.: 60Hz,Odozva: 8ms,Zaruka: 3 on-site 24/7"/>
    <n v="187.5"/>
    <n v="80"/>
    <n v="15000"/>
    <n v="141.67500000000001"/>
    <n v="194"/>
    <n v="266.75"/>
  </r>
  <r>
    <n v="1328"/>
    <s v="Kúpna zmluva č. OVO1-2019/000472-016"/>
    <n v="4178604"/>
    <s v="https://crz.gov.sk/4178604"/>
    <s v="https://www.crz.gov.sk/data/att/4178609_dokument1.pdf"/>
    <x v="2"/>
    <s v="Typ: DELL C5519Q,Velkost: 55&quot;,Rozl.:3840x2160px,Kontrast: 4000:1,Frekv.: 60Hz,Odozva: 8ms,Zaruka: 3 on-site 24/7"/>
    <n v="1062.5"/>
    <n v="80"/>
    <n v="85000"/>
    <n v="141.67500000000001"/>
    <n v="194"/>
    <n v="266.75"/>
  </r>
  <r>
    <n v="1281"/>
    <s v="Kúpna zmluva č. 9001/0054/21"/>
    <n v="6070742"/>
    <s v="https://crz.gov.sk/zmluva/6070742"/>
    <s v="https://www.crz.gov.sk/data/att/3081004.pdf"/>
    <x v="10"/>
    <s v="Typ: KELine 15U,Vyska: 15U,príslušenstvo,Zaruka: neuvedené"/>
    <n v="172.56"/>
    <n v="5"/>
    <n v="862.8"/>
    <n v="98.7"/>
    <n v="172.56"/>
    <n v="2312.5"/>
  </r>
  <r>
    <n v="1282"/>
    <s v="Kúpna zmluva č. 9001/0054/21"/>
    <n v="6070742"/>
    <s v="https://crz.gov.sk/zmluva/6070742"/>
    <s v="https://www.crz.gov.sk/data/att/3081004.pdf"/>
    <x v="31"/>
    <s v="Typ: KELine,Vyhot.: bal. 7500m,Spec.: CAT6a STP LSOH,Zaruka: neuvedené"/>
    <n v="122"/>
    <n v="24.590163934426229"/>
    <n v="3000"/>
    <n v="89.477499999999992"/>
    <n v="121"/>
    <n v="139.9025"/>
  </r>
  <r>
    <n v="1283"/>
    <s v="Kúpna zmluva č. 9001/0054/21"/>
    <n v="6070742"/>
    <s v="https://crz.gov.sk/zmluva/6070742"/>
    <s v="https://www.crz.gov.sk/data/att/3081004.pdf"/>
    <x v="18"/>
    <s v="Typ: Huawei CE6881-48S6CQ-B L3 switch,Porty/rychl.: 48x10Gbps + 6x100Gbps SFP+,Uroven: 3,Vyhot.: 1U,VLAN: neuvedené,manažovaný,Zaruka: neuvedené"/>
    <n v="5898.4"/>
    <n v="4"/>
    <n v="23593.599999999999"/>
    <n v="1759.125"/>
    <n v="3923.7249999999999"/>
    <n v="12062.504999999999"/>
  </r>
  <r>
    <n v="1284"/>
    <s v="Kúpna zmluva č. 9001/0054/21"/>
    <n v="6070742"/>
    <s v="https://crz.gov.sk/zmluva/6070742"/>
    <s v="https://www.crz.gov.sk/data/att/3081004.pdf"/>
    <x v="18"/>
    <s v="Typ: Huawei S5735-L48P4X-A1 L2 switch,Porty/rychl.: 48x1Gbps + 4x10Gbps SFP+,Uroven: 2,Vyhot.: 1U,VLAN: neuvedené,manažovaný,Zaruka: neuvedené"/>
    <n v="1396.5"/>
    <n v="50"/>
    <n v="69825"/>
    <n v="1759.125"/>
    <n v="3923.7249999999999"/>
    <n v="12062.504999999999"/>
  </r>
  <r>
    <n v="1285"/>
    <s v="Kúpna zmluva č. 9001/0054/21"/>
    <n v="6070742"/>
    <s v="https://crz.gov.sk/zmluva/6070742"/>
    <s v="https://www.crz.gov.sk/data/att/3081004.pdf"/>
    <x v="19"/>
    <s v="Typ: Aruba AP-535 (RW) Unified AP,Urcenie: interiér,LAN: 1x1Gbps,Pasma: 2,4+5GHz,Rychl.: 2.4Gbps + 1.147Gbps,Normy: 802.11a/b/g/n/ac wave2/ax + PoE + IEEE 802.3bt + MIMO 4x4:4,Roaming: neuvedené,Max. SSID: 16,Zaruka: 3+NBD"/>
    <n v="602.20000000000005"/>
    <n v="20"/>
    <n v="12044"/>
    <n v="88.21"/>
    <n v="134.57"/>
    <n v="252.7"/>
  </r>
  <r>
    <n v="1286"/>
    <s v="Kúpna zmluva č. 9001/0054/21"/>
    <n v="6070742"/>
    <s v="https://crz.gov.sk/zmluva/6070742"/>
    <s v="https://www.crz.gov.sk/data/att/3081004.pdf"/>
    <x v="19"/>
    <s v="Typ: Aruba AP-505 (RW) Unified AP,Urcenie: interiér,LAN: 1x1Gbps,Pasma: 2,4+5GHz,Rychl.: 1.2Gbps + 574Mbps,Normy: 802.11a/b/g/n/ac wave2/ax + PoE + IEEE 802.3af + MIMO 2x2:2,Roaming: neuvedené,Max. SSID: 16,Zaruka: 3+NBD"/>
    <n v="250.4"/>
    <n v="24"/>
    <n v="6009.6"/>
    <n v="88.21"/>
    <n v="134.57"/>
    <n v="252.7"/>
  </r>
  <r>
    <n v="1287"/>
    <s v="Kúpna zmluva č. 9001/0054/21"/>
    <n v="6070742"/>
    <s v="https://crz.gov.sk/zmluva/6070742"/>
    <s v="https://www.crz.gov.sk/data/att/3081004.pdf"/>
    <x v="47"/>
    <s v="Typ: Sophos XG 650 Ng Firewall Appliance,Porty: 6x10+10x1Gbps LAN,VPN: IPSec, SSL, L2TP, OpenVPN,VLAN: áno,Podpora: MS AD, Radius, LDAP,Zaruka: neuvedené"/>
    <n v="14665.8"/>
    <n v="1"/>
    <n v="14665.8"/>
    <n v="17598.830000000002"/>
    <n v="60471.06"/>
    <n v="139860.215"/>
  </r>
  <r>
    <n v="1288"/>
    <s v="Zmluva na dodanie a inštaláciu Diskových úložísk"/>
    <n v="4663425"/>
    <s v="https://crz.gov.sk/4663425"/>
    <s v="https://www.crz.gov.sk/data/att/4663615_dokument1.pdf"/>
    <x v="9"/>
    <s v="Typ: IBM Storwize V5100 NVMe Control Enclosure,Technol.:NVMe/Flash,Radic: PCIe NVMe RAID0/1 + distributed RAID5/6,Cache: 448GB RAM,Disky: 13x 9.6TB FCM NVMe SFF,Porty: 10Gbps + 25Gbps + 16Gbps FC + 32GB FC,Vyhotovenie: 2U,vzdialený prístup,Zaruka:3+24/7 podpora"/>
    <n v="206189.2"/>
    <n v="1"/>
    <n v="206189.2"/>
    <n v="2032"/>
    <n v="19360"/>
    <n v="87628.37"/>
  </r>
  <r>
    <n v="1289"/>
    <s v="Zmluva na dodanie a inštaláciu Diskových úložísk"/>
    <n v="4663425"/>
    <s v="https://crz.gov.sk/4663425"/>
    <s v="https://www.crz.gov.sk/data/att/4663615_dokument1.pdf"/>
    <x v="9"/>
    <s v="Typ: IBM Storwize V5100 NVMe Control Enclosure,Technol.:NVMe/Flash,Radic: PCIe NVMe RAID0/1 + distributed RAID5/6,Cache: 448GB RAM,Disky: 7x 9.6TB FCM NVMe SFF,Porty: 10Gbps + 25Gbps + 16Gbps FC + 32GB FC,Vyhotovenie: 2U,vzdialený prístup,Zaruka:3+24/7 podpora"/>
    <n v="146782.79999999999"/>
    <n v="1"/>
    <n v="146782.79999999999"/>
    <n v="2032"/>
    <n v="19360"/>
    <n v="87628.37"/>
  </r>
  <r>
    <n v="1290"/>
    <s v="Zmluva o dielo č. 4/KP/2022"/>
    <n v="6155202"/>
    <s v="https://crz.gov.sk/zmluva/6155202"/>
    <s v="https://www.crz.gov.sk/data/att/3131885.pdf"/>
    <x v="69"/>
    <s v="Typ: APC NetShelter SX 42U + APC Smart-UPS SRT 3000VA,Vyska: 42U,VykonUPs: 3000VA,Zaruka: neuvedené"/>
    <n v="6245.7"/>
    <n v="1"/>
    <n v="6245.7"/>
    <n v="6245.7"/>
    <n v="6245.7"/>
    <n v="6245.7"/>
  </r>
  <r>
    <n v="1291"/>
    <s v="Zmluva o dielo č. 4/KP/2022"/>
    <n v="6155202"/>
    <s v="https://crz.gov.sk/zmluva/6155202"/>
    <s v="https://www.crz.gov.sk/data/att/3131885.pdf"/>
    <x v="8"/>
    <s v="Typ: Dell PowerEdge R740, Proc: 2x 16-jadro,RAM: 256GB,Disk: neuvedené,Radic: RAID0/1/5/6/10 8GB cache, Ethernet: 4x 1Gbps + 2x 10Gbps SFP+, GPU: Zdiel., Vyhotovenie: neuvedené, OS nezávislý systém manažment, Zaruka: 3+9/5 NBD"/>
    <n v="7209.15"/>
    <n v="2"/>
    <n v="14418.3"/>
    <n v="7209.15"/>
    <n v="15534.78"/>
    <n v="29950.799999999999"/>
  </r>
  <r>
    <n v="1292"/>
    <s v="Zmluva o dielo č. 4/KP/2022"/>
    <n v="6155202"/>
    <s v="https://crz.gov.sk/zmluva/6155202"/>
    <s v="https://www.crz.gov.sk/data/att/3131885.pdf"/>
    <x v="8"/>
    <s v="Typ: Dell PowerEdge R740, Proc: 1x 10-jadro,RAM: 64GB,Disk: HDD 2x 600GB 15000rpm SAS,Radic: RAID0/1/5/6/10 8GB cache, Ethernet: 4x 1Gbps + 2x 10Gbps SFP+, GPU: Zdiel., Vyhotovenie: neuvedené, OS nezávislý systém manažment, Zaruka: 3+9/5 NBD"/>
    <n v="5125"/>
    <n v="1"/>
    <n v="5125"/>
    <n v="7209.15"/>
    <n v="15534.78"/>
    <n v="29950.799999999999"/>
  </r>
  <r>
    <n v="1293"/>
    <s v="Zmluva o dielo č. 4/KP/2022"/>
    <n v="6155202"/>
    <s v="https://crz.gov.sk/zmluva/6155202"/>
    <s v="https://www.crz.gov.sk/data/att/3131885.pdf"/>
    <x v="9"/>
    <s v="Typ:Huawei OceanStor V5,Technol.:SAS 12Gbps,Radic: 2x SAS RAID0/1/3/5/6/10/50,Cache: 32GB RAM na radič,Disky: 12x 2.4TB SAS 12Gbps 10000rpm,Porty: 2x 4x 10Gbps SFP+ + 2x 4x 16Gbps FC,Vyhotovenie: rackmount,vzdialený prístup,Zaruka:3 + 9/5 NBD"/>
    <n v="20450.099999999999"/>
    <n v="1"/>
    <n v="20450.099999999999"/>
    <n v="2032"/>
    <n v="19360"/>
    <n v="87628.37"/>
  </r>
  <r>
    <n v="1294"/>
    <s v="Zmluva o dielo č. 4/KP/2022"/>
    <n v="6155202"/>
    <s v="https://crz.gov.sk/zmluva/6155202"/>
    <s v="https://www.crz.gov.sk/data/att/3131885.pdf"/>
    <x v="44"/>
    <s v="Typ: HPE RDX External Docking Station,Technol.: HDD knižnica,Vyhotovenie: na stôl s voliteľnou sadou na montáž do racku 1U,Medium: HDD HPE RDX Removable Disk Cartridge,Pocet_mech.: 1,Pocet_kap_media: 7x4TB,Komp_rozhrania: USB 3.0,Zaruka: neuvedené"/>
    <n v="2757.6"/>
    <n v="1"/>
    <n v="2757.6"/>
    <n v="11441.9125"/>
    <n v="24241.455000000002"/>
    <n v="41877.177500000005"/>
  </r>
  <r>
    <n v="1295"/>
    <s v="Zmluva o dielo č. 4/KP/2022"/>
    <n v="6155202"/>
    <s v="https://crz.gov.sk/zmluva/6155202"/>
    <s v="https://www.crz.gov.sk/data/att/3131885.pdf"/>
    <x v="47"/>
    <s v="Typ: Fortigate-200F + Unified Threat Protection na 3 roky,Porty: 18x 1Gbps + 8x 1Gbps SFP+ + 4x10Gbps SFP+ LAN,VPN: neuvedené,VLAN: neuvedené,Podpora: neuvedené,Zaruka: 3+24x7 NBD"/>
    <n v="9576.65"/>
    <n v="2"/>
    <n v="19153.3"/>
    <n v="17598.830000000002"/>
    <n v="60471.06"/>
    <n v="139860.215"/>
  </r>
  <r>
    <n v="1296"/>
    <s v="Zmluva o dielo č. 4/KP/2022"/>
    <n v="6155202"/>
    <s v="https://crz.gov.sk/zmluva/6155202"/>
    <s v="https://www.crz.gov.sk/data/att/3131885.pdf"/>
    <x v="18"/>
    <s v="Typ: Cisco Catalyst 9300,Porty/rychl.: 24x 1Gbps + 8x 10Gbps SFP,Uroven: neuvedené,Vyhot.: neuvedené,VLAN: neuvedené,Zaruka: 3 (podpora)"/>
    <n v="6390.4"/>
    <n v="2"/>
    <n v="12780.8"/>
    <n v="1759.125"/>
    <n v="3923.7249999999999"/>
    <n v="12062.504999999999"/>
  </r>
  <r>
    <n v="1297"/>
    <s v="Rámcová zmluva o dodávke komponentov bezpečnostnej infraštruktúry a súvisiacich službách"/>
    <n v="5877256"/>
    <s v="https://crz.gov.sk/zmluva/5877256"/>
    <s v="https://www.crz.gov.sk/data/att/2962881.pdf, https://www.crz.gov.sk/data/att/2962882.pdf"/>
    <x v="47"/>
    <s v="Typ: Fortigate-201F,Porty: 18x 1Gbps + 8x 1Gbps SFP+ + 4x10Gbps SFP+ LAN,VPN: SSL, IPSec,VLAN: 4000,Podpora: antivírus, antimalvér,Zaruka: 5+24x7 NBD"/>
    <n v="14767.66"/>
    <n v="2"/>
    <n v="29535.32"/>
    <n v="17598.830000000002"/>
    <n v="60471.06"/>
    <n v="139860.215"/>
  </r>
  <r>
    <n v="1298"/>
    <s v="Rámcová zmluva o dodávke komponentov bezpečnostnej infraštruktúry a súvisiacich službách"/>
    <n v="5877256"/>
    <s v="https://crz.gov.sk/zmluva/5877256"/>
    <s v="https://www.crz.gov.sk/data/att/2962881.pdf, https://www.crz.gov.sk/data/att/2962882.pdf"/>
    <x v="47"/>
    <s v="Typ: Fortigate-601E,Porty: 10x 1Gbps + 8x 1Gbps SFP+ + 2x10Gbps SFP+ LAN,VPN: SSL, IPSec,VLAN: 4000,Podpora: MS AD, DNS filter, antivírus, antimalvér,Zaruka: 3+24x7 NBD"/>
    <n v="26919.86"/>
    <n v="2"/>
    <n v="53839.72"/>
    <n v="17598.830000000002"/>
    <n v="60471.06"/>
    <n v="139860.215"/>
  </r>
  <r>
    <n v="1299"/>
    <s v="Kúpna zmluva č. 2020/282 - Výpočtová technika a periférne zariadenia"/>
    <n v="5315732"/>
    <s v="https://crz.gov.sk/zmluva/5315732"/>
    <s v="https://www.crz.gov.sk/data/att/2623947.pdf"/>
    <x v="0"/>
    <s v="Typ: HP EliteDesk 805 G6 SFF,Proc: 6-jadro passmark 16370,RAM: 8GB,Disk: SSD SATA 256GB,VGA: zdiel.,OS: Win10, klávesnica, myš, DVD,Zaruka: 5+NBD"/>
    <n v="980"/>
    <n v="1150"/>
    <n v="1127000"/>
    <n v="680"/>
    <n v="991"/>
    <n v="1485.8333333333335"/>
  </r>
  <r>
    <n v="1300"/>
    <s v="Kúpna zmluva č. 2020/282 - Výpočtová technika a periférne zariadenia"/>
    <n v="5315732"/>
    <s v="https://crz.gov.sk/zmluva/5315732"/>
    <s v="https://www.crz.gov.sk/data/att/2623947.pdf"/>
    <x v="1"/>
    <s v="Typ: HP Probook 650 G8,Proc.: 2-jadro passmark 6233,RAM: 8GB,Disk: SSD SATA 512GB,VGA: zdiel.,Disp: FHD,OS: Win10, klávesnica, myš, TPM, DVD, dokovacia stanica,Zaruka: 5+NBD"/>
    <n v="1299"/>
    <n v="60"/>
    <n v="77940"/>
    <n v="783.15"/>
    <n v="1196.3"/>
    <n v="1455.5"/>
  </r>
  <r>
    <n v="1301"/>
    <s v="Kúpna zmluva č. 2020/282 - Výpočtová technika a periférne zariadenia"/>
    <n v="5315732"/>
    <s v="https://crz.gov.sk/zmluva/5315732"/>
    <s v="https://www.crz.gov.sk/data/att/2623947.pdf"/>
    <x v="1"/>
    <s v="Typ: HP Elitebook 845 G7,Proc.: 6-jadro passmark 12843,RAM: 8GB,Disk: SSD SATA 512GB,VGA: zdiel.,Disp: FHD,OS: Win10, klávesnica, myš, TPM, dokovacia stanica,Zaruka: 5+NBD"/>
    <n v="1319"/>
    <n v="130"/>
    <n v="171470"/>
    <n v="783.15"/>
    <n v="1196.3"/>
    <n v="1455.5"/>
  </r>
  <r>
    <n v="1271"/>
    <s v="Kúpna zmluva č. 2020/282 - Výpočtová technika a periférne zariadenia"/>
    <n v="5315732"/>
    <s v="https://crz.gov.sk/zmluva/5315732"/>
    <s v="https://www.crz.gov.sk/data/att/2623947.pdf"/>
    <x v="1"/>
    <s v="Typ: HP Probook 650 G8,Proc.: 4-jadro passmark 10508,RAM: 16GB,Disk: SSD SATA 256GB,VGA: zdiel.,Disp: FHD,OS: Win10, klávesnica, myš, TPM, DVD ext., dokovacia stanica,Zaruka: 5+NBD"/>
    <n v="1505"/>
    <n v="12"/>
    <n v="18060"/>
    <n v="783.15"/>
    <n v="1196.3"/>
    <n v="1455.5"/>
  </r>
  <r>
    <n v="1272"/>
    <s v="Kúpna zmluva č. 2020/282 - Výpočtová technika a periférne zariadenia"/>
    <n v="5315732"/>
    <s v="https://crz.gov.sk/zmluva/5315732"/>
    <s v="https://www.crz.gov.sk/data/att/2623947.pdf"/>
    <x v="2"/>
    <s v="Typ: HP EliteDisplay E243,Rozlisenie:1920x1080,Frekv:60 Hz,Velkost: 23.8&quot;,Kontrast:1000:1,Vstupy:VGA,DP,HDMI,matný, nastaviteľný,Zaruka:5+NBD"/>
    <n v="131"/>
    <n v="387"/>
    <n v="50697"/>
    <n v="141.67500000000001"/>
    <n v="194"/>
    <n v="266.75"/>
  </r>
  <r>
    <n v="1273"/>
    <s v="Kúpna zmluva č. 2020/282 - Výpočtová technika a periférne zariadenia"/>
    <n v="5315732"/>
    <s v="https://crz.gov.sk/zmluva/5315732"/>
    <s v="https://www.crz.gov.sk/data/att/2623947.pdf"/>
    <x v="2"/>
    <s v="Typ: HP EliteDisplay E243i,Rozlisenie:1920x1200,Frekv:60 Hz,Velkost: 24&quot;,Kontrast:1000:1,Vstupy:VGA,DP,HDMI,matný, nastaviteľný,Zaruka:5+NBD"/>
    <n v="210"/>
    <n v="463"/>
    <n v="97230"/>
    <n v="141.67500000000001"/>
    <n v="194"/>
    <n v="266.75"/>
  </r>
  <r>
    <n v="1274"/>
    <s v="Kúpna zmluva č. 2020/282 - Výpočtová technika a periférne zariadenia"/>
    <n v="5315732"/>
    <s v="https://crz.gov.sk/zmluva/5315732"/>
    <s v="https://www.crz.gov.sk/data/att/2623947.pdf"/>
    <x v="2"/>
    <s v="Typ: HP Z24n G2,Rozlisenie:1920x1200,Frekv:60 Hz,Velkost: 24&quot; LED,Kontrast:1000:1,Vstupy:DP,HDMI,matný, nastaviteľný,Zaruka:5+NBD"/>
    <n v="256"/>
    <n v="300"/>
    <n v="76800"/>
    <n v="141.67500000000001"/>
    <n v="194"/>
    <n v="266.75"/>
  </r>
  <r>
    <n v="1275"/>
    <s v="Kúpna zmluva č. 2020/282 - Výpočtová technika a periférne zariadenia"/>
    <n v="5315732"/>
    <s v="https://crz.gov.sk/zmluva/5315732"/>
    <s v="https://www.crz.gov.sk/data/att/2623947.pdf"/>
    <x v="3"/>
    <s v="Typ: HP LaserJet Pro M404dn,Technologia: laser,Farba: nie,Format papiera: A4,Rozhrania: USB, Ethernet,RAM: 256MB,Rozlisenie: 1200dpi,Duplex: áno,Zasobnik: 250+100 listov,Zaruka: 5"/>
    <n v="279"/>
    <n v="35"/>
    <n v="9765"/>
    <n v="229.78"/>
    <n v="424.2"/>
    <n v="1030.3"/>
  </r>
  <r>
    <n v="1276"/>
    <s v="Kúpna zmluva č. 2020/282 - Výpočtová technika a periférne zariadenia"/>
    <n v="5315732"/>
    <s v="https://crz.gov.sk/zmluva/5315732"/>
    <s v="https://www.crz.gov.sk/data/att/2623947.pdf"/>
    <x v="3"/>
    <s v="Typ: HP PageWide Pro 452dw,Technologia: atrament,Farba: áno,Format papiera: A4,Rozhrania: USB, Ethernet, wifi,RAM: 512MB,Rozlisenie: 600dpi,Duplex: áno,Zasobnik: 500+50 listov,Zaruka: 5"/>
    <n v="479"/>
    <n v="133"/>
    <n v="63707"/>
    <n v="229.78"/>
    <n v="424.2"/>
    <n v="1030.3"/>
  </r>
  <r>
    <n v="1277"/>
    <s v="Kúpna zmluva č. 2020/282 - Výpočtová technika a periférne zariadenia"/>
    <n v="5315732"/>
    <s v="https://crz.gov.sk/zmluva/5315732"/>
    <s v="https://www.crz.gov.sk/data/att/2623947.pdf"/>
    <x v="4"/>
    <s v="Typ: HP LaserJet Pro MFP M428,Technologia: laser,Farba: nie,Formaty: A4,Rozhrania: USB, ethernet,RAM: 512MB,Pam. karta: bez,Zasobnik: 250+100,R. tlace: 600dpi,R. kopirky: 600dpi,R. skenera: 600dpi,Duplex: áno,Zaruka: 5+NBD"/>
    <n v="542"/>
    <n v="38"/>
    <n v="20596"/>
    <n v="393.94499999999999"/>
    <n v="710.01499999999999"/>
    <n v="2552.0574999999999"/>
  </r>
  <r>
    <n v="1278"/>
    <s v="Kúpna zmluva č. 2020/282 - Výpočtová technika a periférne zariadenia"/>
    <n v="5315732"/>
    <s v="https://crz.gov.sk/zmluva/5315732"/>
    <s v="https://www.crz.gov.sk/data/att/2623947.pdf"/>
    <x v="4"/>
    <s v="Typ: HP PageWide Enterprise Color MFP 780dn,Technologia: atrament,Farba: áno,Formaty: A3,Rozhrania: USB, ethernet,RAM: 3.5GB,Pam. karta: bez,Zasobnik: 250+100,R. tlace: 600dpi,R. kopirky: 600dpi,R. skenera: 600dpi,Duplex: áno,Zaruka: 5+NBD"/>
    <n v="4579"/>
    <n v="30"/>
    <n v="137370"/>
    <n v="393.94499999999999"/>
    <n v="710.01499999999999"/>
    <n v="2552.0574999999999"/>
  </r>
  <r>
    <n v="1279"/>
    <s v="Kúpna zmluva č. 2020/282 - Výpočtová technika a periférne zariadenia"/>
    <n v="5315732"/>
    <s v="https://crz.gov.sk/zmluva/5315732"/>
    <s v="https://www.crz.gov.sk/data/att/2623947.pdf"/>
    <x v="4"/>
    <s v="Typ: HP Color LaserJet Enterprise Flow MFP M880z,Technologia: laser,Farba: áno,Formaty: A3,Rozhrania: USB, ethernet,RAM: 2.5GB,Pam. karta: HDD 320GB,Zasobnik: 2000+100,R. tlace: 1200dpi,R. kopirky: 600dpi,R. skenera: 600dpi,Duplex: áno,Zaruka: 5+NBD"/>
    <n v="9280"/>
    <n v="8"/>
    <n v="74240"/>
    <n v="393.94499999999999"/>
    <n v="710.01499999999999"/>
    <n v="2552.0574999999999"/>
  </r>
  <r>
    <n v="1280"/>
    <s v="Kúpna zmluva č. SE-VO1-2021/001908-013"/>
    <n v="5856338"/>
    <s v="https://crz.gov.sk/zmluva/5856338"/>
    <s v="https://www.crz.gov.sk/data/att/2950304.pdf"/>
    <x v="0"/>
    <s v="Typ: Dell OptiPlex 3080 Micro XCTO,Proc.: passmark 8342,RAM: 8GB,Disk: SSD NVMe 256GB,VGA: zdiel.,OS: Win10Pro, klávesnica, myš,Zaruka: neuvedené"/>
    <n v="496"/>
    <n v="78"/>
    <n v="38688"/>
    <n v="680"/>
    <n v="991"/>
    <n v="1485.8333333333335"/>
  </r>
  <r>
    <n v="1281"/>
    <s v="Kúpna zmluva č. SE-VO1-2021/001908-013"/>
    <n v="5856338"/>
    <s v="https://crz.gov.sk/zmluva/5856338"/>
    <s v="https://www.crz.gov.sk/data/att/2950304.pdf"/>
    <x v="1"/>
    <s v="Typ: Dell Latitude 3210 CTO,Proc.: passmark 6507,RAM: 16GB,Disk: SSD NVMe 512GB,VGA: zdiel.,Disp: FHD,OS: Win10Pro, taška, myš,Zaruka: neuvedené"/>
    <n v="857"/>
    <n v="5"/>
    <n v="4285"/>
    <n v="783.15"/>
    <n v="1196.3"/>
    <n v="1455.5"/>
  </r>
  <r>
    <n v="1282"/>
    <s v="Kúpna zmluva č. SE-VO1-2021/001908-013"/>
    <n v="5856338"/>
    <s v="https://crz.gov.sk/zmluva/5856338"/>
    <s v="https://www.crz.gov.sk/data/att/2950304.pdf"/>
    <x v="1"/>
    <s v="Typ: Dell Latitude 5420 XCTO Base,Proc.: passmark 10327,RAM: 16GB,Disk: SSD NVMe 512GB,VGA: zdiel.,Disp: FHD,OS: Win10Pro, taška, myš, dokovacia stanica,Zaruka: neuvedené"/>
    <n v="1077"/>
    <n v="6"/>
    <n v="6462"/>
    <n v="783.15"/>
    <n v="1196.3"/>
    <n v="1455.5"/>
  </r>
  <r>
    <n v="1283"/>
    <s v="Kúpna zmluva č. SE-VO1-2021/001908-013"/>
    <n v="5856338"/>
    <s v="https://crz.gov.sk/zmluva/5856338"/>
    <s v="https://www.crz.gov.sk/data/att/2950304.pdf"/>
    <x v="2"/>
    <s v="Typ: Dell P2421,Rozlisenie: 1920x1200,Frekv: 60 Hz,Velkost: 24&quot;,Kontrast: 1000:1,Vstupy: DP, HDMI, VGA, DVI, matný, nastaviteľný,Zaruka: neuvedené"/>
    <n v="153"/>
    <n v="156"/>
    <n v="23868"/>
    <n v="141.67500000000001"/>
    <n v="194"/>
    <n v="266.75"/>
  </r>
  <r>
    <n v="1284"/>
    <s v="Kúpna zmluva č. SE-VO1-2021/001908-013"/>
    <n v="5856338"/>
    <s v="https://crz.gov.sk/zmluva/5856338"/>
    <s v="https://www.crz.gov.sk/data/att/2950304.pdf"/>
    <x v="4"/>
    <s v="Typ: OKI MC338dn MFP,Technologia: laser,Farba: áno,Formaty: A3,Rozhrania: USB, ethernet,RAM: 1,26GB,Pam. karta: neuvedené,Zasobnik: 3x, bez uvedenej kapacity,R. tlace: 1200dpi,R. kopirky: neuvedené,R. skenera: neuvedené,Duplex: áno,Zaruka: neuvedené"/>
    <n v="1847"/>
    <n v="11"/>
    <n v="20317"/>
    <n v="393.94499999999999"/>
    <n v="710.01499999999999"/>
    <n v="2552.0574999999999"/>
  </r>
  <r>
    <n v="1285"/>
    <s v="Kúpna zmluva č. SE-VO1-2021/001908-013"/>
    <n v="5856338"/>
    <s v="https://crz.gov.sk/zmluva/5856338"/>
    <s v="https://www.crz.gov.sk/data/att/2950304.pdf"/>
    <x v="3"/>
    <s v="Typ: OKI B432dn,Technologia: led,Farba: áno,Formaty: A4,Rozhrania: USB, ethernet, wifi,RAM: neuvedené,Pam. karta: bez,Zasobnik: neuvedené,Rozlisenie: 1200dpi,Duplex: áno,Zaruka: neuvedené"/>
    <n v="615"/>
    <n v="1"/>
    <n v="615"/>
    <n v="229.78"/>
    <n v="424.2"/>
    <n v="1030.3"/>
  </r>
  <r>
    <n v="1286"/>
    <s v="Kúpna zmluva č. SE-VO1-2021/001908-013"/>
    <n v="5856338"/>
    <s v="https://crz.gov.sk/zmluva/5856338"/>
    <s v="https://www.crz.gov.sk/data/att/2950304.pdf"/>
    <x v="30"/>
    <s v="Typ: Asus External Slim SDRW-08D2S-U,Vyhot.: externá,Media: CD,CD-R,CD-RW,DVD,DVD-RW,DVD-R+,DVD-R-,Rychlost: 8x (DVD),Rozhranie: USB 2.0,Zaruka: neuvedené"/>
    <n v="29"/>
    <n v="20"/>
    <n v="580"/>
    <n v="14.8"/>
    <n v="19.5"/>
    <n v="31.25"/>
  </r>
  <r>
    <n v="1287"/>
    <s v="Kúpna zmluva č. SE-VO1-2021/001908-013"/>
    <n v="5856338"/>
    <s v="https://crz.gov.sk/zmluva/5856338"/>
    <s v="https://www.crz.gov.sk/data/att/2950304.pdf"/>
    <x v="14"/>
    <s v="Typ: Seagate Backup Plus Ultra Touch,Vyhot.: externý,Kapacita: 1TB,Rozmer: 2.5&quot;,Druh: HDD,Rozhranie: USB 3.0,Cache: neuvedené,Zaruka: neuvedené"/>
    <n v="52"/>
    <n v="6"/>
    <n v="312"/>
    <n v="55.5"/>
    <n v="91.88"/>
    <n v="148.36000000000001"/>
  </r>
  <r>
    <n v="1288"/>
    <s v="Kúpna zmluva č. SE-VO1-2021/001908-013"/>
    <n v="5856338"/>
    <s v="https://crz.gov.sk/zmluva/5856338"/>
    <s v="https://www.crz.gov.sk/data/att/2950304.pdf"/>
    <x v="32"/>
    <s v="Typ: Samsung BAR Plus Titan Gray,Kapacita: 64GB,Rozhranie: USB 3.2,Zaruka: neuvedené"/>
    <n v="14"/>
    <n v="11"/>
    <n v="154"/>
    <n v="4.9000000000000004"/>
    <n v="8.4"/>
    <n v="14"/>
  </r>
  <r>
    <n v="1289"/>
    <s v="Kúpna zmluva č. SE-VO1-2021/001908-013"/>
    <n v="5856338"/>
    <s v="https://crz.gov.sk/zmluva/5856338"/>
    <s v="https://www.crz.gov.sk/data/att/2950304.pdf"/>
    <x v="35"/>
    <s v="Typ: Creative LIVE! CAM SYNC 1080P,Rozlisenie: 1920x1080,CCD: 15MPx,FPS: 30,Rozhranie: USB,Zaruka: neuvedené"/>
    <n v="37"/>
    <n v="10"/>
    <n v="370"/>
    <n v="34.0625"/>
    <n v="68.2"/>
    <n v="133.05000000000001"/>
  </r>
  <r>
    <n v="1290"/>
    <s v="Kúpna zmluva č. SE-VO1-2021/001908-013"/>
    <n v="5856338"/>
    <s v="https://crz.gov.sk/zmluva/5856338"/>
    <s v="https://www.crz.gov.sk/data/att/2950304.pdf"/>
    <x v="42"/>
    <s v="Typ: Creative Inspire T10,Kanaly: 2,Vykon: 2x 5W,Pripojenie:jack,Korekcie: neuveené,Bat.: nie,Zaruka: neuvedené"/>
    <n v="30"/>
    <n v="10"/>
    <n v="300"/>
    <n v="28.484999999999999"/>
    <n v="48.75"/>
    <n v="71.75"/>
  </r>
  <r>
    <n v="1291"/>
    <s v="Kúpna zmluva č. SE-VO1-2021/001908-013"/>
    <n v="5856338"/>
    <s v="https://crz.gov.sk/zmluva/5856338"/>
    <s v="https://www.crz.gov.sk/data/att/2950304.pdf"/>
    <x v="5"/>
    <s v="Podložka pod myš, Typ: Canyon CND-CM P8,Rozmery: 40 x 35 x 0.3cm,Zaruka: neuvedené"/>
    <n v="4"/>
    <n v="78"/>
    <n v="312"/>
    <n v="17.549999999999997"/>
    <n v="275.8"/>
    <n v="11191.057499999999"/>
  </r>
  <r>
    <n v="1292"/>
    <s v="Zmluva o dielo"/>
    <n v="6110251"/>
    <s v="https://crz.gov.sk/zmluva/6110251"/>
    <s v="https://www.crz.gov.sk/data/att/3104269.pdf"/>
    <x v="8"/>
    <s v="Typ: Dell PowerEdge R750, Proc: 2x Intel Xeon Gold 5317 12-jadro 3.0GHz,RAM: 512GB,Disk: 2x SSD NVMe 480GB + 6 pozícií pre NVMe disky + 24 pozícií na SFF hotswap disky, Radic: neuvedené, Ethernet: 2x 10Gbps SFP+ + 6x 1Gbps + 2x 16Gbps FC, GPU: Zdiel.,Vyhotovenie: 2U, OS nezávislý systém manažment, Zaruka: 5+NBD"/>
    <n v="17850"/>
    <n v="4"/>
    <n v="71400"/>
    <n v="7209.15"/>
    <n v="15534.78"/>
    <n v="29950.799999999999"/>
  </r>
  <r>
    <n v="1293"/>
    <s v="Zmluva o dielo"/>
    <n v="6110251"/>
    <s v="https://crz.gov.sk/zmluva/6110251"/>
    <s v="https://www.crz.gov.sk/data/att/3104269.pdf"/>
    <x v="8"/>
    <s v="Typ: Dell PowerEdge R650, Proc: 2x Intel Xeon Silver 4310 12-jadro 2.1GHz,RAM: 512GB,Disk: 2x SSD NVMe 480GB + 8 pozícií na SFF hotswap disky, z toho aspoň 4 NVMe, Radic: neuvedené, Ethernet: 2x 10Gbps SFP+ + 6x 1Gbps + 2x 16Gbps FC, GPU: Zdiel.,Vyhotovenie: 1U, OS nezávislý systém manažment, Zaruka: 5+NBD"/>
    <n v="10227.6"/>
    <n v="2"/>
    <n v="20455.2"/>
    <n v="7209.15"/>
    <n v="15534.78"/>
    <n v="29950.799999999999"/>
  </r>
  <r>
    <n v="1294"/>
    <s v="Zmluva o dielo"/>
    <n v="6110251"/>
    <s v="https://crz.gov.sk/zmluva/6110251"/>
    <s v="https://www.crz.gov.sk/data/att/3104269.pdf"/>
    <x v="8"/>
    <s v="Typ: Dell PowerEdge R750, Proc: 1x 16-jadro 3.1GHz,RAM: 128GB,Disk: 2x SSD NVMe 480GB + 8x SSD NVMe 3.84TB + 4 pozície na SFF hotswap disky SAS + 2 pozície pre SFF hotswap disky NVMe, Radic: NVMe RAID0-10 8GB Cache + SAS 12Gbps + SATA 6Gbps autotiering pre 4 vrstvy, Ethernet: 2x 10Gbps SFP+ + 6x 1Gbps + 4x 16Gbps FC (osadené MM min. na 2 kartách), GPU: Zdiel.,Vyhotovenie: 2U, OS nezávislý systém manažment, Zaruka: 5+NBD"/>
    <n v="23216"/>
    <n v="2"/>
    <n v="46432"/>
    <n v="7209.15"/>
    <n v="15534.78"/>
    <n v="29950.799999999999"/>
  </r>
  <r>
    <n v="1295"/>
    <s v="Zmluva o dielo"/>
    <n v="6110251"/>
    <s v="https://crz.gov.sk/zmluva/6110251"/>
    <s v="https://www.crz.gov.sk/data/att/3104269.pdf"/>
    <x v="18"/>
    <s v="Typ: Cisco C9300-48T,Porty/rychl.: 48x 1Gbps + 4x 1/10Gbps FC SFP Uplink,Uroven: neuvedené,Vyhot.: 1U,VLAN: 4000,Zaruka: 5+8x5NBD"/>
    <n v="9376.7999999999993"/>
    <n v="4"/>
    <n v="37507.199999999997"/>
    <n v="1759.125"/>
    <n v="3923.7249999999999"/>
    <n v="12062.504999999999"/>
  </r>
  <r>
    <n v="1296"/>
    <s v="Zmluva o dielo"/>
    <n v="6110251"/>
    <s v="https://crz.gov.sk/zmluva/6110251"/>
    <s v="https://www.crz.gov.sk/data/att/3104269.pdf"/>
    <x v="48"/>
    <s v="Typ: Connectrix DS-6610B 8P/24P Switch,Porty/rychl.: 24x 16Gbps FC SFP+ (min. 8 osadených MM s licenciou),Uroven: neuvedené,Vyhot.: 1U,VLAN: neuvedené,Zaruka: 5+NBD"/>
    <n v="3698.4"/>
    <n v="4"/>
    <n v="14793.6"/>
    <n v="12800"/>
    <n v="18793.535"/>
    <n v="26260.85"/>
  </r>
  <r>
    <n v="1297"/>
    <s v="Zmluva o dielo"/>
    <n v="6110251"/>
    <s v="https://crz.gov.sk/zmluva/6110251"/>
    <s v="https://www.crz.gov.sk/data/att/3104269.pdf"/>
    <x v="11"/>
    <s v="Typ: APC Smart-UPS SRT 5000VA, Spinanie: online,Vykon: 3600W,Vyhot.: 9U,Zaruka: 5+onsite"/>
    <n v="15616.8"/>
    <n v="2"/>
    <n v="31233.599999999999"/>
    <n v="59.227499999999999"/>
    <n v="332.14"/>
    <n v="1331.8050000000001"/>
  </r>
  <r>
    <n v="1298"/>
    <s v="Kúpna zmluva č. 2020/237 - Výpočtová technika a periférie"/>
    <n v="4965151"/>
    <s v="https://crz.gov.sk/4965151"/>
    <s v="https://www.crz.gov.sk/data/att/4965203_dokument1.pdf"/>
    <x v="0"/>
    <s v="Typ: HP EliteDesk 705 G5 SFF,Proc: 4-jadro passmark 7354,RAM: 4GB,Disk: HDD SATA 500GB 7200RPM,VGA: zdiel.,OS: Win10Pro, klávesnica, myš, DVD,Zaruka: 5+NBD"/>
    <n v="805"/>
    <n v="41"/>
    <n v="33005"/>
    <n v="680"/>
    <n v="991"/>
    <n v="1485.8333333333335"/>
  </r>
  <r>
    <n v="1299"/>
    <s v="Kúpna zmluva č. 2020/237 - Výpočtová technika a periférie"/>
    <n v="4965151"/>
    <s v="https://crz.gov.sk/4965151"/>
    <s v="https://www.crz.gov.sk/data/att/4965203_dokument1.pdf"/>
    <x v="0"/>
    <s v="Typ: HP EliteDesk 705 G5 SFF,Proc: 4-jadro passmark 9502,RAM: 8GB,Disk: SSD SATA 256GB,VGA: zdiel.,OS: Win10Pro, klávesnica, myš, DVD,Zaruka: 5+NBD"/>
    <n v="995"/>
    <n v="40"/>
    <n v="39800"/>
    <n v="680"/>
    <n v="991"/>
    <n v="1485.8333333333335"/>
  </r>
  <r>
    <n v="1300"/>
    <s v="Kúpna zmluva č. 2020/237 - Výpočtová technika a periférie"/>
    <n v="4965151"/>
    <s v="https://crz.gov.sk/4965151"/>
    <s v="https://www.crz.gov.sk/data/att/4965203_dokument1.pdf"/>
    <x v="1"/>
    <s v="Typ: HP Probook 650 G5,Proc.: 4-jadro passmark 7987,RAM: 4GB,Disk: HDD SATA 500GB,VGA: zdiel.,Disp: FHD,OS: Win10, TPM, DVD, dokovacia stanica,Zaruka: 5+NBD"/>
    <n v="1349"/>
    <n v="3"/>
    <n v="4047"/>
    <n v="783.15"/>
    <n v="1196.3"/>
    <n v="1455.5"/>
  </r>
  <r>
    <n v="1301"/>
    <s v="Kúpna zmluva č. 2020/237 - Výpočtová technika a periférie"/>
    <n v="4965151"/>
    <s v="https://crz.gov.sk/4965151"/>
    <s v="https://www.crz.gov.sk/data/att/4965203_dokument1.pdf"/>
    <x v="1"/>
    <s v="Typ: HP EliteBook 840 G6,Proc.: 4-jadro passmark 7987,RAM: 8GB,Disk: SSD SATA 512GB,VGA: zdiel.,Disp: FHD,OS: Win10, TPM, dokovacia stanica,Zaruka: 5+NBD"/>
    <n v="1506.5"/>
    <n v="1"/>
    <n v="1506.5"/>
    <n v="783.15"/>
    <n v="1196.3"/>
    <n v="1455.5"/>
  </r>
  <r>
    <n v="1302"/>
    <s v="Kúpna zmluva č. 2020/237 - Výpočtová technika a periférie"/>
    <n v="4965151"/>
    <s v="https://crz.gov.sk/4965151"/>
    <s v="https://www.crz.gov.sk/data/att/4965203_dokument1.pdf"/>
    <x v="2"/>
    <s v="Typ: HP EliteDisplay E243,Rozlisenie:1920x1080,Frekv:60 Hz,Velkost: 23.8&quot;,Kontrast:1000:1,Vstupy: VGA, DP, HDMI, USB, matný, nastaviteľný,Zaruka: 5"/>
    <n v="179"/>
    <n v="41"/>
    <n v="7339"/>
    <n v="141.67500000000001"/>
    <n v="194"/>
    <n v="266.75"/>
  </r>
  <r>
    <n v="1303"/>
    <s v="Kúpna zmluva č. 2020/237 - Výpočtová technika a periférie"/>
    <n v="4965151"/>
    <s v="https://crz.gov.sk/4965151"/>
    <s v="https://www.crz.gov.sk/data/att/4965203_dokument1.pdf"/>
    <x v="2"/>
    <s v="Typ: HP EliteDisplay E243i,Rozlisenie:1920x1200,Frekv:60 Hz,Velkost: 24&quot;,Kontrast:1000:1,Vstupy: VGA, DP, HDMI, USB, matný, nastaviteľný,Zaruka: 5"/>
    <n v="222"/>
    <n v="40"/>
    <n v="8880"/>
    <n v="141.67500000000001"/>
    <n v="194"/>
    <n v="266.75"/>
  </r>
  <r>
    <n v="1304"/>
    <s v="Kúpna zmluva č. 2020/237 - Výpočtová technika a periférie"/>
    <n v="4965151"/>
    <s v="https://crz.gov.sk/4965151"/>
    <s v="https://www.crz.gov.sk/data/att/4965203_dokument1.pdf"/>
    <x v="3"/>
    <s v="Typ: HP LaserJet Pro M404dn,Technologia: laser,Farba: nie,Formaty: A4,Rozhrania: USB, ethernet,RAM: 256MB,Pam. karta: bez,Zasobnik: 250 + 100 listov,Rozlisenie: 1200dpi,Duplex: áno,Zaruka: 5+NBD"/>
    <n v="277"/>
    <n v="18"/>
    <n v="4986"/>
    <n v="229.78"/>
    <n v="424.2"/>
    <n v="1030.3"/>
  </r>
  <r>
    <n v="1305"/>
    <s v="Kúpna zmluva č. 2020/237 - Výpočtová technika a periférie"/>
    <n v="4965151"/>
    <s v="https://crz.gov.sk/4965151"/>
    <s v="https://www.crz.gov.sk/data/att/4965203_dokument1.pdf"/>
    <x v="4"/>
    <s v="Typ: HP LaserJet Pro MFP M428fdn,Technologia: laser, Farba: nie,Formaty: A4,Rozhrania: USB, ethernet, wifi,RAM: 512MB,Pam. karta: bez,Zasobnik: 250 + 100,R. tlace: 600dpi,R. kopirky: 600dpi,R. skenera: 600dpi,Duplex: áno,Zaruka: 5+NBD"/>
    <n v="577"/>
    <n v="14"/>
    <n v="8078"/>
    <n v="393.94499999999999"/>
    <n v="710.01499999999999"/>
    <n v="2552.0574999999999"/>
  </r>
  <r>
    <n v="1306"/>
    <s v="Kúpna zmluva č. 2020/237 - Výpočtová technika a periférie"/>
    <n v="4965151"/>
    <s v="https://crz.gov.sk/4965151"/>
    <s v="https://www.crz.gov.sk/data/att/4965203_dokument1.pdf"/>
    <x v="4"/>
    <s v="Typ: HP PageWide Enterprise Color MFP 586dn,Technologia: atrament,Farba: áno,Formaty: A4,Rozhrania: USB, ethernet, wifi,RAM: 2GB,Pam. karta: bez,Zasobnik: 500 + 50,R. tlace: 600dpi,R. kopirky: 600dpi,R. skenera: 600dpi,Duplex: áno,Zaruka: 5+NBD"/>
    <n v="2458"/>
    <n v="2"/>
    <n v="4916"/>
    <n v="393.94499999999999"/>
    <n v="710.01499999999999"/>
    <n v="2552.0574999999999"/>
  </r>
  <r>
    <n v="1307"/>
    <s v="Kúpna zmluva č. 2020/237 - Výpočtová technika a periférie"/>
    <n v="4965151"/>
    <s v="https://crz.gov.sk/4965151"/>
    <s v="https://www.crz.gov.sk/data/att/4965203_dokument1.pdf"/>
    <x v="4"/>
    <s v="Typ: HP PageWide Enterprise Color MFP 780dn,Technologia: atrament,Farba: áno,Formaty: A3,Rozhrania: USB, ethernet,wifi,RAM: 3.5GB,Pam. karta: bez,Zasobnik: 550+100,R. tlace: 600dpi,R. kopirky: 600dpi,R. skenera: 600dpi,Duplex: áno,Zaruka: 5+NBD"/>
    <n v="4540"/>
    <n v="13"/>
    <n v="59020"/>
    <n v="393.94499999999999"/>
    <n v="710.01499999999999"/>
    <n v="2552.0574999999999"/>
  </r>
  <r>
    <n v="1308"/>
    <s v="Kúpna zmluva č. 2020/237 - Výpočtová technika a periférie"/>
    <n v="4965151"/>
    <s v="https://crz.gov.sk/4965151"/>
    <s v="https://www.crz.gov.sk/data/att/4965203_dokument1.pdf"/>
    <x v="4"/>
    <s v="Typ: HP PageWide Enterprise Color MFP M880z,Technologia: laser,Farba: áno,Formaty: A3,Rozhrania: USB, ethernet,wifi,RAM: 2.5GB,Pam. karta: HDD 320GB,Zasobnik: 2000+100,R. tlace: 1200dpi,R. kopirky: 600dpi,R. skenera: 600dpi,Duplex: áno,Zaruka: 5+NBD"/>
    <n v="10515"/>
    <n v="5"/>
    <n v="52575"/>
    <n v="393.94499999999999"/>
    <n v="710.01499999999999"/>
    <n v="2552.0574999999999"/>
  </r>
  <r>
    <n v="1309"/>
    <s v="Kúpna zmluva"/>
    <n v="6213547"/>
    <s v="https://crz.gov.sk/zmluva/6213547"/>
    <s v="https://www.crz.gov.sk/data/att/3165025.pdf"/>
    <x v="0"/>
    <s v="Typ: HP ProDesk 400 G6,Proc: 6-jadro passmark 8252,RAM: 8GB,Disk: SSD NVMe 256GB,VGA: zdiel.,OS: Win10, klávesnica, myš,Zaruka: neuvedené"/>
    <n v="585"/>
    <n v="101"/>
    <n v="59085"/>
    <n v="680"/>
    <n v="991"/>
    <n v="1485.8333333333335"/>
  </r>
  <r>
    <n v="1310"/>
    <s v="Kúpna zmluva"/>
    <n v="6213547"/>
    <s v="https://crz.gov.sk/zmluva/6213547"/>
    <s v="https://www.crz.gov.sk/data/att/3165025.pdf"/>
    <x v="2"/>
    <s v="Typ: AOC 24E1Q,Rozlisenie:1920x1080,Frekv:60 Hz,Velkost: 23.8&quot;,Kontrast:1000:1,Vstupy: VGA, DP, HDMI, matný, nastaviteľný,Zaruka: neuvedené"/>
    <n v="135"/>
    <n v="109"/>
    <n v="14715"/>
    <n v="141.67500000000001"/>
    <n v="194"/>
    <n v="266.75"/>
  </r>
  <r>
    <n v="1311"/>
    <s v="Kúpna zmluva"/>
    <n v="6213547"/>
    <s v="https://crz.gov.sk/zmluva/6213547"/>
    <s v="https://www.crz.gov.sk/data/att/3165025.pdf"/>
    <x v="0"/>
    <s v="Typ: HP Z4 G4 Workstation 1000W,Proc: 10-jadro passmark 22659,RAM: 16GB,Disk: SSD NVMe 512GB,VGA: zdiel./voľný slot,OS: neuvedené,Zaruka: neuvedené"/>
    <n v="1750"/>
    <n v="4"/>
    <n v="7000"/>
    <n v="680"/>
    <n v="991"/>
    <n v="1485.8333333333335"/>
  </r>
  <r>
    <n v="1312"/>
    <s v="Kúpna zmluva"/>
    <n v="6213547"/>
    <s v="https://crz.gov.sk/zmluva/6213547"/>
    <s v="https://www.crz.gov.sk/data/att/3165025.pdf"/>
    <x v="30"/>
    <s v="Typ: LiteOn eBAU108,Vyhot.: externá,Media: CD,CD-R,CD-RW,DVD,DVD-RW,DVD-R+,DVD-R-,Rychlost: 8x (DVD),Rozhranie: USB 2.0,Zaruka: neuvedené"/>
    <n v="19"/>
    <n v="10"/>
    <n v="190"/>
    <n v="14.8"/>
    <n v="19.5"/>
    <n v="31.25"/>
  </r>
  <r>
    <n v="1313"/>
    <s v="Kúpna zmluva"/>
    <n v="6213547"/>
    <s v="https://crz.gov.sk/zmluva/6213547"/>
    <s v="https://www.crz.gov.sk/data/att/3165025.pdf"/>
    <x v="16"/>
    <s v="Typ: HPE 2Rx4 PC4-2933Y-R Smart Kit,Druh: DIMM,Kapacita: 32GB,Generacia: DDR4,Frekv.: 2933MHz,Zaruka: neuvedené"/>
    <n v="299"/>
    <n v="8"/>
    <n v="2392"/>
    <n v="22.082500000000003"/>
    <n v="31.15"/>
    <n v="48.125"/>
  </r>
  <r>
    <n v="1314"/>
    <s v="Kúpna zmluva"/>
    <n v="6213547"/>
    <s v="https://crz.gov.sk/zmluva/6213547"/>
    <s v="https://www.crz.gov.sk/data/att/3165025.pdf"/>
    <x v="4"/>
    <s v="Typ: HP LaserJet Pro MFP M428fdn,Technologia: laser, Farba: nie,Formaty: A4,Rozhrania: USB, ethernet, wifi,RAM: 512MB,Pam. karta: 512MB flash,Zasobnik: 250 + 100,R. tlace: 600dpi,R. kopirky: 600dpi,R. skenera: 600dpi,Duplex: áno,Zaruka: neuvedené"/>
    <n v="430"/>
    <n v="8"/>
    <n v="3440"/>
    <n v="393.94499999999999"/>
    <n v="710.01499999999999"/>
    <n v="2552.0574999999999"/>
  </r>
  <r>
    <n v="1315"/>
    <s v="Kúpna zmluva"/>
    <n v="6213547"/>
    <s v="https://crz.gov.sk/zmluva/6213547"/>
    <s v="https://www.crz.gov.sk/data/att/3165025.pdf"/>
    <x v="3"/>
    <s v="Typ: HP LaserJet Pro M501dn,Technologia: laser,Farba: nie,Formaty: A4,Rozhrania: USB, ethernet,RAM: 256MB, Pam. Karta: neuvedené,Zasobnik: 650,Rozlisenie: 600dpi,Duplex: áno,Zaruka: neuvedené"/>
    <n v="350"/>
    <n v="22"/>
    <n v="7700"/>
    <n v="229.78"/>
    <n v="424.2"/>
    <n v="1030.3"/>
  </r>
  <r>
    <n v="1316"/>
    <s v="Kúpna zmluva"/>
    <n v="6213547"/>
    <s v="https://crz.gov.sk/zmluva/6213547"/>
    <s v="https://www.crz.gov.sk/data/att/3165025.pdf"/>
    <x v="14"/>
    <s v="Typ: Samsung 860 Pro,Vyhot.: interný,Kapacita: 1TB,Rozmer: 2.5&quot;,Druh: SSD,Rozhranie: SATA 6Gb/s,Cache: neuvedené,Zaruka: neuvedené"/>
    <n v="211"/>
    <n v="4"/>
    <n v="844"/>
    <n v="55.5"/>
    <n v="91.88"/>
    <n v="148.36000000000001"/>
  </r>
  <r>
    <n v="1317"/>
    <s v="Kúpna zmluva"/>
    <n v="6213547"/>
    <s v="https://crz.gov.sk/zmluva/6213547"/>
    <s v="https://www.crz.gov.sk/data/att/3165025.pdf"/>
    <x v="70"/>
    <s v="Typ: HP Smart Array P440ar,Technol.: SAS,Porty: 2x 12Gbps,UrovenRAID: 0+1,Cache: 2GB,Zaruka: neuvedené"/>
    <n v="410"/>
    <n v="1"/>
    <n v="410"/>
    <n v="410"/>
    <n v="410"/>
    <n v="410"/>
  </r>
  <r>
    <n v="1318"/>
    <s v="Kúpna zmluva"/>
    <n v="6213547"/>
    <s v="https://crz.gov.sk/zmluva/6213547"/>
    <s v="https://www.crz.gov.sk/data/att/3165025.pdf"/>
    <x v="23"/>
    <s v="Typ: HPE Ethernet 562SFP+ Adapter,Rozhranie: PCIe x1,Rychlost: 10/25Gbps,Zaruka: neuvedené"/>
    <n v="529"/>
    <n v="1"/>
    <n v="529"/>
    <n v="9.8249999999999993"/>
    <n v="21.14"/>
    <n v="248.75"/>
  </r>
  <r>
    <n v="1319"/>
    <s v="Kúpna zmluva"/>
    <n v="6213547"/>
    <s v="https://crz.gov.sk/zmluva/6213547"/>
    <s v="https://www.crz.gov.sk/data/att/3165025.pdf"/>
    <x v="66"/>
    <s v="Typ: Mikrotik CRS317-1G-16S+RM,Porty/rychl.: 16x 10Gbps FC SFP+ + 1x 1Gbps,Uroven: 3,Vyhot.: 1U,VLAN: áno, počet neuvedený,Zaruka: neuvedené"/>
    <n v="289"/>
    <n v="1"/>
    <n v="289"/>
    <n v="289"/>
    <n v="8259.4500000000007"/>
    <n v="40374.120000000003"/>
  </r>
  <r>
    <n v="1320"/>
    <s v="Kúpna zmluva"/>
    <n v="6213547"/>
    <s v="https://crz.gov.sk/zmluva/6213547"/>
    <s v="https://www.crz.gov.sk/data/att/3165025.pdf"/>
    <x v="71"/>
    <s v="Typ: Ubiquiti UniFi Dream Machine Pro,Porty/rychl.: 8x 1Gbps LAN + 1x 1Gbps WAN + 1x 1/10Gbps SFP+ LAN + 1x 1/10Gbps SFP+ WAN,Uroven: neuvedené,Vyhot.: 1U,VLAN: neuvedené,Zaruka: neuvedené"/>
    <n v="342"/>
    <n v="1"/>
    <n v="342"/>
    <n v="342.25"/>
    <n v="342.5"/>
    <n v="342.75"/>
  </r>
  <r>
    <n v="1321"/>
    <s v="Kúpna zmluva"/>
    <n v="6213547"/>
    <s v="https://crz.gov.sk/zmluva/6213547"/>
    <s v="https://www.crz.gov.sk/data/att/3165025.pdf"/>
    <x v="5"/>
    <s v="MM SFP+ modul,Typ: Mikrotik,Rychl.: 10/100/1000Mbps/2.5/5/10Gbps,Konektor: RJ45,Zaruka: neuvedené"/>
    <n v="51"/>
    <n v="8"/>
    <n v="408"/>
    <n v="17.549999999999997"/>
    <n v="275.8"/>
    <n v="11191.057499999999"/>
  </r>
  <r>
    <n v="1322"/>
    <s v="Kúpna zmluva"/>
    <n v="6213547"/>
    <s v="https://crz.gov.sk/zmluva/6213547"/>
    <s v="https://www.crz.gov.sk/data/att/3165025.pdf"/>
    <x v="23"/>
    <s v="Typ: QNAP QXG-10G2SF-CX4,Rozhranie: PCIe x8,Rychlost: 10Gbps,Zaruka: neuvedené"/>
    <n v="159"/>
    <n v="2"/>
    <n v="318"/>
    <n v="9.8249999999999993"/>
    <n v="21.14"/>
    <n v="248.75"/>
  </r>
  <r>
    <n v="1323"/>
    <s v="Kúpna zmluva"/>
    <n v="6213547"/>
    <s v="https://crz.gov.sk/zmluva/6213547"/>
    <s v="https://www.crz.gov.sk/data/att/3165025.pdf"/>
    <x v="2"/>
    <s v="Typ: Dell S2721D,Rozlisenie: 2560x1440,Frekv: 75 Hz,Velkost: 27&quot;,Kontrast:1000:1,Vstupy: DP, HDMI, matný,Zaruka: neuvedené"/>
    <n v="231"/>
    <n v="4"/>
    <n v="924"/>
    <n v="141.67500000000001"/>
    <n v="194"/>
    <n v="266.75"/>
  </r>
  <r>
    <n v="1324"/>
    <s v="Kúpna zmluva"/>
    <n v="6213547"/>
    <s v="https://crz.gov.sk/zmluva/6213547"/>
    <s v="https://www.crz.gov.sk/data/att/3165025.pdf"/>
    <x v="19"/>
    <s v="Typ: Ubiquiti UniFi AC PRO,Urcenie: exteriér,LAN: 2x 1Gbps,Pasma: 2.4+5GHz,Rychl.: 450Mbps + 1.3Gbps,Normy: 802.11a/b/g/n/ac + PoE + MIMO 3x3:3,Roaming: áno,Max. SSID: 4,Zaruka: neuvedené"/>
    <n v="123"/>
    <n v="10"/>
    <n v="1230"/>
    <n v="88.21"/>
    <n v="134.57"/>
    <n v="252.7"/>
  </r>
  <r>
    <n v="1325"/>
    <s v="Kúpna zmluva"/>
    <n v="6213547"/>
    <s v="https://crz.gov.sk/zmluva/6213547"/>
    <s v="https://www.crz.gov.sk/data/att/3165025.pdf"/>
    <x v="4"/>
    <s v="Typ: Canon i-Sensys MF744Cdw,Technologia: laser,Farba: áno,Formaty: A4,Rozhrania: USB, ethernet,wifi,RAM: 1GB,Pam. karta: bez,Zasobnik: neuvedené,R. tlace: 1200dpi,R. kopirky: 600dpi,R. skenera: 600dpi,Duplex: áno,Zaruka: neuvedené"/>
    <n v="399"/>
    <n v="1"/>
    <n v="399"/>
    <n v="393.94499999999999"/>
    <n v="710.01499999999999"/>
    <n v="2552.0574999999999"/>
  </r>
  <r>
    <n v="1326"/>
    <s v="Kúpna zmluva"/>
    <n v="6213547"/>
    <s v="https://crz.gov.sk/zmluva/6213547"/>
    <s v="https://www.crz.gov.sk/data/att/3165025.pdf"/>
    <x v="0"/>
    <s v="Typ: Lenovo ThinkStation P620 TWR,Proc: 32-jadro passmark 63043,RAM: 32GB,Disk: SSD NVMe 256GB,VGA: nezdiel Nvidia RTX A4000 16GB GDDR6 passmark 16026,OS: Win10Pro, 10GE,klávesnica, myš,Zaruka: neuvedené"/>
    <n v="6084"/>
    <n v="1"/>
    <n v="6084"/>
    <n v="680"/>
    <n v="991"/>
    <n v="1485.8333333333335"/>
  </r>
  <r>
    <n v="1327"/>
    <s v="Kúpna zmluva"/>
    <n v="6213547"/>
    <s v="https://crz.gov.sk/zmluva/6213547"/>
    <s v="https://www.crz.gov.sk/data/att/3165025.pdf"/>
    <x v="71"/>
    <s v="Typ: Mikrotik CRS326-24S+2Q+RM,Porty/rychl.: 24x 10Gbps SFP+ + 2x 40Gbps QSFP+,Uroven: 3,Vyhot.: 1U,VLAN: áno, počet neuvedený,Zaruka: neuvedené"/>
    <n v="343"/>
    <n v="2"/>
    <n v="686"/>
    <n v="342.25"/>
    <n v="342.5"/>
    <n v="342.75"/>
  </r>
  <r>
    <n v="1328"/>
    <s v="Kúpna zmluva"/>
    <n v="6213547"/>
    <s v="https://crz.gov.sk/zmluva/6213547"/>
    <s v="https://www.crz.gov.sk/data/att/3165025.pdf"/>
    <x v="1"/>
    <s v="Typ: HP EliteBook Folio 1040 G3,Proc.: 2-jadro passmark 3468,RAM: 16GB,Disk: SSD SATA 120GB,VGA: zdiel.,Disp: FHD,OS: Win10Pro, TPM, dokovacia stanica,Zaruka: neuvedené"/>
    <n v="399"/>
    <n v="9"/>
    <n v="3591"/>
    <n v="783.15"/>
    <n v="1196.3"/>
    <n v="1455.5"/>
  </r>
  <r>
    <n v="1329"/>
    <s v="Kúpna zmluva"/>
    <n v="6213547"/>
    <s v="https://crz.gov.sk/zmluva/6213547"/>
    <s v="https://www.crz.gov.sk/data/att/3165025.pdf"/>
    <x v="5"/>
    <s v="Numerická klávesnica,Typ: Genius NumPad 100,Rozhranie: USB,Zaruka: neuvedené"/>
    <n v="7"/>
    <n v="11"/>
    <n v="77"/>
    <n v="17.549999999999997"/>
    <n v="275.8"/>
    <n v="11191.057499999999"/>
  </r>
  <r>
    <n v="1330"/>
    <s v="Kúpna zmluva č. 557/OI/2018"/>
    <n v="3852833"/>
    <s v="https://crz.gov.sk/3852833"/>
    <s v="https://www.crz.gov.sk/data/att/3852836_dokument1.pdf, https://www.crz.gov.sk/data/att/3852839_dokument1.pdf"/>
    <x v="66"/>
    <s v="Typ: TP-Link TL-WR841N,Porty/rychl.: 4x 1Gbps + WIFI 300Mbps,Uroven: neuvedené,Vyhot.: komerčné,VLAN: nie,Zaruka: neuvedené"/>
    <n v="21.3"/>
    <n v="57"/>
    <n v="1214.1000000000001"/>
    <n v="289"/>
    <n v="8259.4500000000007"/>
    <n v="40374.120000000003"/>
  </r>
  <r>
    <n v="1331"/>
    <s v="Kúpna zmluva č. 557/OI/2018"/>
    <n v="3852833"/>
    <s v="https://crz.gov.sk/3852833"/>
    <s v="https://www.crz.gov.sk/data/att/3852836_dokument1.pdf, https://www.crz.gov.sk/data/att/3852839_dokument1.pdf"/>
    <x v="23"/>
    <s v="Typ: TP-Link TL-WN725N,Rozhranie: USB,Rychlost: WIFI 150Mbps,Zaruka: neuvedené"/>
    <n v="7.5"/>
    <n v="39"/>
    <n v="292.5"/>
    <n v="9.8249999999999993"/>
    <n v="21.14"/>
    <n v="248.75"/>
  </r>
  <r>
    <n v="1332"/>
    <s v="Kúpna zmluva č. 557/OI/2018"/>
    <n v="3852833"/>
    <s v="https://crz.gov.sk/3852833"/>
    <s v="https://www.crz.gov.sk/data/att/3852836_dokument1.pdf, https://www.crz.gov.sk/data/att/3852839_dokument1.pdf"/>
    <x v="72"/>
    <s v="Typ: TP-Link TL-WA850RE,Porty: 1x 1Gbps + WIFI 300Mbps,Zaruka: neuvedené"/>
    <n v="21.64"/>
    <n v="36"/>
    <n v="779.04"/>
    <n v="21.64"/>
    <n v="21.64"/>
    <n v="21.64"/>
  </r>
  <r>
    <n v="1333"/>
    <s v="Kúpna zmluva č. 557/OI/2018"/>
    <n v="3852833"/>
    <s v="https://crz.gov.sk/3852833"/>
    <s v="https://www.crz.gov.sk/data/att/3852836_dokument1.pdf, https://www.crz.gov.sk/data/att/3852839_dokument1.pdf"/>
    <x v="19"/>
    <s v="Typ: TP-Link TL-WA801ND,Urcenie: interiér,LAN: 1x 1Gbps,Pasma: 2.4GHz,Rychl.: 300Mbps,Normy: 802.11b/g/n + PoE injektor,Roaming: nie,Max. SSID: multi - nešpec.,Zaruka: neuvedené"/>
    <n v="32.4"/>
    <n v="23"/>
    <n v="745.19999999999993"/>
    <n v="88.21"/>
    <n v="134.57"/>
    <n v="252.7"/>
  </r>
  <r>
    <n v="1335"/>
    <s v="Kúpna zmluva č. 557/OI/2018"/>
    <n v="3852833"/>
    <s v="https://crz.gov.sk/3852833"/>
    <s v="https://www.crz.gov.sk/data/att/3852836_dokument1.pdf, https://www.crz.gov.sk/data/att/3852839_dokument1.pdf"/>
    <x v="31"/>
    <s v="Typ: SLDF5EOUT-305-BK,Vyhot.: bal. 300m lanko,Spec.: CAT5e FTP,Zaruka: neuvedené"/>
    <n v="132.30000000000001"/>
    <n v="14"/>
    <n v="1852.2000000000003"/>
    <n v="89.477499999999992"/>
    <n v="121"/>
    <n v="139.9025"/>
  </r>
  <r>
    <n v="1336"/>
    <s v="Kúpna zmluva č. 557/OI/2018"/>
    <n v="3852833"/>
    <s v="https://crz.gov.sk/3852833"/>
    <s v="https://www.crz.gov.sk/data/att/3852836_dokument1.pdf, https://www.crz.gov.sk/data/att/3852839_dokument1.pdf"/>
    <x v="31"/>
    <s v="Typ: NEONOP49330 outdoor,Vyhot.: bal. 305m box,Spec.: CAT5e UTP,Zaruka: neuvedené"/>
    <n v="142.61000000000001"/>
    <n v="2"/>
    <n v="285.22000000000003"/>
    <n v="89.477499999999992"/>
    <n v="121"/>
    <n v="139.9025"/>
  </r>
  <r>
    <n v="1337"/>
    <s v="Kúpna zmluva č. 557/OI/2018"/>
    <n v="3852833"/>
    <s v="https://crz.gov.sk/3852833"/>
    <s v="https://www.crz.gov.sk/data/att/3852836_dokument1.pdf, https://www.crz.gov.sk/data/att/3852839_dokument1.pdf"/>
    <x v="18"/>
    <s v="Typ: TP-Link TL-SF1005D,Porty/rychl.: 5x 100Mbps,Uroven: neuvedené,Vyhot.: stolový, nemanažovaný,VLAN: nie,Zaruka: neuvedené"/>
    <n v="9.19"/>
    <n v="112"/>
    <n v="1029.28"/>
    <n v="1759.125"/>
    <n v="3923.7249999999999"/>
    <n v="12062.504999999999"/>
  </r>
  <r>
    <n v="1338"/>
    <s v="Kúpna zmluva č. 557/OI/2018"/>
    <n v="3852833"/>
    <s v="https://crz.gov.sk/3852833"/>
    <s v="https://www.crz.gov.sk/data/att/3852836_dokument1.pdf, https://www.crz.gov.sk/data/att/3852839_dokument1.pdf"/>
    <x v="11"/>
    <s v="Typ: CyberPower UT650E-FR, Spinanie: line-interactive,Vykon: 360W,Vyhot.: tower,Zaruka: neuvedené"/>
    <n v="51.53"/>
    <n v="149"/>
    <n v="7677.97"/>
    <n v="59.227499999999999"/>
    <n v="332.14"/>
    <n v="1331.8050000000001"/>
  </r>
  <r>
    <n v="1339"/>
    <s v="Kúpna zmluva č. 557/OI/2018"/>
    <n v="3852833"/>
    <s v="https://crz.gov.sk/3852833"/>
    <s v="https://www.crz.gov.sk/data/att/3852836_dokument1.pdf, https://www.crz.gov.sk/data/att/3852839_dokument1.pdf"/>
    <x v="28"/>
    <s v="Typ: PowerBank ColorWay,Vystupy: 2x USB 5V/1A,Vstupy: 1x microUSB 5V/1A,Kapacita: 8000mAh,Zaruka: neuvedené"/>
    <n v="15.69"/>
    <n v="80"/>
    <n v="1255.2"/>
    <n v="11.272500000000001"/>
    <n v="12.745000000000001"/>
    <n v="14.217499999999999"/>
  </r>
  <r>
    <n v="1340"/>
    <s v="Kúpna zmluva č. 557/OI/2018"/>
    <n v="3852833"/>
    <s v="https://crz.gov.sk/3852833"/>
    <s v="https://www.crz.gov.sk/data/att/3852836_dokument1.pdf, https://www.crz.gov.sk/data/att/3852839_dokument1.pdf"/>
    <x v="38"/>
    <s v="Typ: ActiveJet AMY-320BK,Technol.: optická bezdrôtová,Rozlisenie: 1600dpi,Rozhranie: USB 2.0,Zaruka: neuvedené"/>
    <n v="10.96"/>
    <n v="174"/>
    <n v="1907.0400000000002"/>
    <n v="4.25"/>
    <n v="6.12"/>
    <n v="13.55"/>
  </r>
  <r>
    <n v="1341"/>
    <s v="Kúpna zmluva č. 557/OI/2018"/>
    <n v="3852833"/>
    <s v="https://crz.gov.sk/3852833"/>
    <s v="https://www.crz.gov.sk/data/att/3852836_dokument1.pdf, https://www.crz.gov.sk/data/att/3852839_dokument1.pdf"/>
    <x v="38"/>
    <s v="Typ: Esperanza Extreme Camille 3D XM102K,Technol.: optická drôtová,Rozlisenie: 1000dpi,Rozhranie: USB,Zaruka: neuvedené"/>
    <n v="4.9800000000000004"/>
    <n v="271"/>
    <n v="1349.5800000000002"/>
    <n v="4.25"/>
    <n v="6.12"/>
    <n v="13.55"/>
  </r>
  <r>
    <n v="1342"/>
    <s v="Kúpna zmluva č. 557/OI/2018"/>
    <n v="3852833"/>
    <s v="https://crz.gov.sk/3852833"/>
    <s v="https://www.crz.gov.sk/data/att/3852836_dokument1.pdf, https://www.crz.gov.sk/data/att/3852839_dokument1.pdf"/>
    <x v="39"/>
    <s v="Typ: KB-102M-U-BL,Pripoj.: drôtová,Rozlozenie: CZ+SK,Rozhranie: USB,Zaruka: neuvedené"/>
    <n v="4.84"/>
    <n v="540"/>
    <n v="2613.6"/>
    <n v="5.1899999999999995"/>
    <n v="8.5"/>
    <n v="21.95"/>
  </r>
  <r>
    <n v="1343"/>
    <s v="Kúpna zmluva č. 557/OI/2018"/>
    <n v="3852833"/>
    <s v="https://crz.gov.sk/3852833"/>
    <s v="https://www.crz.gov.sk/data/att/3852836_dokument1.pdf, https://www.crz.gov.sk/data/att/3852839_dokument1.pdf"/>
    <x v="38"/>
    <s v="Typ: Genius mouse DX-110,Technol.: optická drôtová,Rozlisenie: 1000dpi,Rozhranie: USB,Zaruka: neuvedené"/>
    <n v="5.19"/>
    <n v="585"/>
    <n v="3036.15"/>
    <n v="4.25"/>
    <n v="6.12"/>
    <n v="13.55"/>
  </r>
  <r>
    <n v="1344"/>
    <s v="Kúpna zmluva č. 557/OI/2018"/>
    <n v="3852833"/>
    <s v="https://crz.gov.sk/3852833"/>
    <s v="https://www.crz.gov.sk/data/att/3852836_dokument1.pdf, https://www.crz.gov.sk/data/att/3852839_dokument1.pdf"/>
    <x v="5"/>
    <s v="Numerická klávesnica,Typ: KPD-U-01,Rozhranie: USB,Zaruka: neuvedené"/>
    <n v="7.38"/>
    <n v="81"/>
    <n v="597.78"/>
    <n v="17.549999999999997"/>
    <n v="275.8"/>
    <n v="11191.057499999999"/>
  </r>
  <r>
    <n v="1345"/>
    <s v="Kúpna zmluva č. 557/OI/2018"/>
    <n v="3852833"/>
    <s v="https://crz.gov.sk/3852833"/>
    <s v="https://www.crz.gov.sk/data/att/3852836_dokument1.pdf, https://www.crz.gov.sk/data/att/3852839_dokument1.pdf"/>
    <x v="42"/>
    <s v="Typ: Logitech S120,Kanaly: 2,Vykon: 2x5W,Pripojenie:jack,Korekcie: len hlasitosť,Bat.: nie,Zaruka: neuvedené"/>
    <n v="23.94"/>
    <n v="68"/>
    <n v="1627.92"/>
    <n v="28.484999999999999"/>
    <n v="48.75"/>
    <n v="71.75"/>
  </r>
  <r>
    <n v="1346"/>
    <s v="Kúpna zmluva č. 557/OI/2018"/>
    <n v="3852833"/>
    <s v="https://crz.gov.sk/3852833"/>
    <s v="https://www.crz.gov.sk/data/att/3852836_dokument1.pdf, https://www.crz.gov.sk/data/att/3852839_dokument1.pdf"/>
    <x v="73"/>
    <s v="Typ: Genius headset HS400A,Kanaly: 2,Vykon: neuvedené,Pripojenie:jack,Korekcie: bez,Bat.: nie,Zaruka: neuvedené"/>
    <n v="11.58"/>
    <n v="77"/>
    <n v="891.66"/>
    <n v="11.58"/>
    <n v="11.58"/>
    <n v="11.58"/>
  </r>
  <r>
    <n v="1347"/>
    <s v="Kúpna zmluva č. 557/OI/2018"/>
    <n v="3852833"/>
    <s v="https://crz.gov.sk/3852833"/>
    <s v="https://www.crz.gov.sk/data/att/3852836_dokument1.pdf, https://www.crz.gov.sk/data/att/3852839_dokument1.pdf"/>
    <x v="37"/>
    <s v="Typ:  ClipTec Card Reader RZR502,Podp. karty: SD, MMC, MS, T-Flash, M2, CF, xD 6 slotov,Rozhranie: USB 2.0,Zaruka: neuvedené"/>
    <n v="6.58"/>
    <n v="61"/>
    <n v="401.38"/>
    <n v="4.8"/>
    <n v="6.58"/>
    <n v="6.9"/>
  </r>
  <r>
    <n v="1348"/>
    <s v="Kúpna zmluva č. 557/OI/2018"/>
    <n v="3852833"/>
    <s v="https://crz.gov.sk/3852833"/>
    <s v="https://www.crz.gov.sk/data/att/3852836_dokument1.pdf, https://www.crz.gov.sk/data/att/3852839_dokument1.pdf"/>
    <x v="33"/>
    <s v="Typ: Axago HUE-X3,Porty: neuvedený počet USB 2.0,Napajanie: z USB,Vypinanie: nie,Zaruka: neuvedené"/>
    <n v="5.32"/>
    <n v="117"/>
    <n v="622.44000000000005"/>
    <n v="7.9050000000000002"/>
    <n v="13"/>
    <n v="16.75"/>
  </r>
  <r>
    <n v="1349"/>
    <s v="Kúpna zmluva č. 557/OI/2018"/>
    <n v="3852833"/>
    <s v="https://crz.gov.sk/3852833"/>
    <s v="https://www.crz.gov.sk/data/att/3852836_dokument1.pdf, https://www.crz.gov.sk/data/att/3852839_dokument1.pdf"/>
    <x v="5"/>
    <s v="Replikátor portov,Typ: Delock 87297,Rozhrania: 1Gbps LAN, miniDP, HDMI-A, VGA, USB-C, 3x USB 3.0, jack, SD, MMC, MicroSD,Zaruka: neuvedené"/>
    <n v="143.25"/>
    <n v="14"/>
    <n v="2005.5"/>
    <n v="17.549999999999997"/>
    <n v="275.8"/>
    <n v="11191.057499999999"/>
  </r>
  <r>
    <n v="1350"/>
    <s v="Kúpna zmluva č. 557/OI/2018"/>
    <n v="3852833"/>
    <s v="https://crz.gov.sk/3852833"/>
    <s v="https://www.crz.gov.sk/data/att/3852836_dokument1.pdf, https://www.crz.gov.sk/data/att/3852839_dokument1.pdf"/>
    <x v="30"/>
    <s v="Typ: Asus ZenDrive U8M Silver,Vyhot.: externá,Media: minidisc,CD,CD-R,CD-RW,DVD,DVD-RW,DVD-R+,DVD-R-,Rychlost: 8x (DVD),Rozhranie: USB 2.0,Zaruka: neuvedené"/>
    <n v="42.79"/>
    <n v="35"/>
    <n v="1497.6499999999999"/>
    <n v="14.8"/>
    <n v="19.5"/>
    <n v="31.25"/>
  </r>
  <r>
    <n v="1351"/>
    <s v="Kúpna zmluva č. 557/OI/2018"/>
    <n v="3852833"/>
    <s v="https://crz.gov.sk/3852833"/>
    <s v="https://www.crz.gov.sk/data/att/3852836_dokument1.pdf, https://www.crz.gov.sk/data/att/3852839_dokument1.pdf"/>
    <x v="14"/>
    <s v="Typ: Maxtor M3 Portable,Vyhot.: externý,Kapacita: 2TB,Rozmer: 2.5&quot;,Druh: HDD,Rozhranie: USB 3.0,Cache: 2GB,Zaruka: neuvedené"/>
    <n v="94.13"/>
    <n v="100"/>
    <n v="9413"/>
    <n v="55.5"/>
    <n v="91.88"/>
    <n v="148.36000000000001"/>
  </r>
  <r>
    <n v="1352"/>
    <s v="Kúpna zmluva č. 557/OI/2018"/>
    <n v="3852833"/>
    <s v="https://crz.gov.sk/3852833"/>
    <s v="https://www.crz.gov.sk/data/att/3852836_dokument1.pdf, https://www.crz.gov.sk/data/att/3852839_dokument1.pdf"/>
    <x v="32"/>
    <s v="Typ: Adata UV310,Kapacita: 32GB,Rozhranie: USB 3.1,Zaruka: neuvedené"/>
    <n v="11.82"/>
    <n v="373"/>
    <n v="4408.8599999999997"/>
    <n v="4.9000000000000004"/>
    <n v="8.4"/>
    <n v="14"/>
  </r>
  <r>
    <n v="1353"/>
    <s v="Kúpna zmluva č. 557/OI/2018"/>
    <n v="3852833"/>
    <s v="https://crz.gov.sk/3852833"/>
    <s v="https://www.crz.gov.sk/data/att/3852836_dokument1.pdf, https://www.crz.gov.sk/data/att/3852839_dokument1.pdf"/>
    <x v="32"/>
    <s v="Typ: DatAshur Pro,Kapacita: 64GB,Rozhranie: USB 3.1, šifrovanie 256-bit AES,Zaruka: neuvedené"/>
    <n v="270"/>
    <n v="44"/>
    <n v="11880"/>
    <n v="4.9000000000000004"/>
    <n v="8.4"/>
    <n v="14"/>
  </r>
  <r>
    <n v="1354"/>
    <s v="Kúpna zmluva č. 557/OI/2018"/>
    <n v="3852833"/>
    <s v="https://crz.gov.sk/3852833"/>
    <s v="https://www.crz.gov.sk/data/att/3852836_dokument1.pdf, https://www.crz.gov.sk/data/att/3852839_dokument1.pdf"/>
    <x v="62"/>
    <s v="Typ: SanDisk microSDHC Card,Kapacita: 32GB,Rychlost: neuvedené, adaptér na USB,Zaruka: neuvedené"/>
    <n v="10.119999999999999"/>
    <n v="50"/>
    <n v="505.99999999999994"/>
    <n v="10.059999999999999"/>
    <n v="22.94"/>
    <n v="48.75"/>
  </r>
  <r>
    <n v="1355"/>
    <s v="Kúpna zmluva č. 557/OI/2018"/>
    <n v="3852833"/>
    <s v="https://crz.gov.sk/3852833"/>
    <s v="https://www.crz.gov.sk/data/att/3852836_dokument1.pdf, https://www.crz.gov.sk/data/att/3852839_dokument1.pdf"/>
    <x v="37"/>
    <s v="Typ:  Axagon CRE-D4B,Podp. karty: SD, MMC, MS,Rozhranie: USB 2.0,Zaruka: neuvedené"/>
    <n v="4.8"/>
    <n v="65"/>
    <n v="312"/>
    <n v="4.8"/>
    <n v="6.58"/>
    <n v="6.9"/>
  </r>
  <r>
    <n v="1356"/>
    <s v="Kúpna zmluva č. 557/OI/2018"/>
    <n v="3852833"/>
    <s v="https://crz.gov.sk/3852833"/>
    <s v="https://www.crz.gov.sk/data/att/3852836_dokument1.pdf, https://www.crz.gov.sk/data/att/3852839_dokument1.pdf"/>
    <x v="5"/>
    <s v="Taška na notebook 15.6&quot;,Zaruka: neuvedené"/>
    <n v="14.32"/>
    <n v="23"/>
    <n v="329.36"/>
    <n v="17.549999999999997"/>
    <n v="275.8"/>
    <n v="11191.057499999999"/>
  </r>
  <r>
    <n v="1357"/>
    <s v="Kúpna zmluva č. 557/OI/2018"/>
    <n v="3852833"/>
    <s v="https://crz.gov.sk/3852833"/>
    <s v="https://www.crz.gov.sk/data/att/3852836_dokument1.pdf, https://www.crz.gov.sk/data/att/3852839_dokument1.pdf"/>
    <x v="14"/>
    <s v="Typ: WD RED,Vyhot.: interný,Kapacita: 4TB,Rozmer: 3.5&quot;,Druh: HDD 7200,Rozhranie: SATA 6Gb/s,Cache: neuvedené,Zaruka: neuvedené"/>
    <n v="169"/>
    <n v="30"/>
    <n v="5070"/>
    <n v="55.5"/>
    <n v="91.88"/>
    <n v="148.36000000000001"/>
  </r>
  <r>
    <n v="1358"/>
    <s v="Kúpna zmluva č. 557/OI/2018"/>
    <n v="3852833"/>
    <s v="https://crz.gov.sk/3852833"/>
    <s v="https://www.crz.gov.sk/data/att/3852836_dokument1.pdf, https://www.crz.gov.sk/data/att/3852839_dokument1.pdf"/>
    <x v="14"/>
    <s v="Typ: Intel SSD 545S Series,Vyhot.: interný,Kapacita: 256GB,Rozmer: 2.5&quot;,Druh: SSD 3D NAND,Rozhranie: neuvedené,Cache: neuvedené,Zaruka: neuvedené"/>
    <n v="100.95"/>
    <n v="9"/>
    <n v="908.55000000000007"/>
    <n v="55.5"/>
    <n v="91.88"/>
    <n v="148.36000000000001"/>
  </r>
  <r>
    <n v="1359"/>
    <s v="Kúpna zmluva č. 557/OI/2018"/>
    <n v="3852833"/>
    <s v="https://crz.gov.sk/3852833"/>
    <s v="https://www.crz.gov.sk/data/att/3852836_dokument1.pdf, https://www.crz.gov.sk/data/att/3852839_dokument1.pdf"/>
    <x v="62"/>
    <s v="Typ: Adata Micro SDXC,Kapacita: 32GB,Rychlost: UHS-II,Zaruka: neuvedené"/>
    <n v="22.94"/>
    <n v="18"/>
    <n v="412.92"/>
    <n v="10.059999999999999"/>
    <n v="22.94"/>
    <n v="48.75"/>
  </r>
  <r>
    <n v="1360"/>
    <s v="Kúpna zmluva č. 557/OI/2018"/>
    <n v="3852833"/>
    <s v="https://crz.gov.sk/3852833"/>
    <s v="https://www.crz.gov.sk/data/att/3852836_dokument1.pdf, https://www.crz.gov.sk/data/att/3852839_dokument1.pdf"/>
    <x v="14"/>
    <s v="Typ: WD Blue SSD,Vyhot.: interný,Kapacita: 500GB,Rozmer: 2.5&quot;,Druh: SSD 3D NAND,Rozhranie: SATA III 6Gbps,Cache: neuvedené,Zaruka: neuvedené"/>
    <n v="122.74"/>
    <n v="20"/>
    <n v="2454.7999999999997"/>
    <n v="55.5"/>
    <n v="91.88"/>
    <n v="148.36000000000001"/>
  </r>
  <r>
    <n v="1361"/>
    <s v="Kúpna zmluva č. 557/OI/2018"/>
    <n v="3852833"/>
    <s v="https://crz.gov.sk/3852833"/>
    <s v="https://www.crz.gov.sk/data/att/3852836_dokument1.pdf, https://www.crz.gov.sk/data/att/3852839_dokument1.pdf"/>
    <x v="65"/>
    <s v="Typ: Logitech SET MK235,Popis: bezdrôtová súprava, nízkoprofilové klávesy, dosah 10m, výdrž batérií 3 roky, vodeodolná klávesnica,Zaruka: neuvedené"/>
    <n v="36.81"/>
    <n v="10"/>
    <n v="368.1"/>
    <n v="33.465000000000003"/>
    <n v="34.58"/>
    <n v="35.695"/>
  </r>
  <r>
    <n v="1362"/>
    <s v="Kúpna zmluva č. 557/OI/2018"/>
    <n v="3852833"/>
    <s v="https://crz.gov.sk/3852833"/>
    <s v="https://www.crz.gov.sk/data/att/3852836_dokument1.pdf, https://www.crz.gov.sk/data/att/3852839_dokument1.pdf"/>
    <x v="33"/>
    <s v="Typ: ATEN,Porty: 2x USB 2.0,Napajanie: z USB,Vypinanie: nie,Zaruka: neuvedené"/>
    <n v="36.94"/>
    <n v="1"/>
    <n v="36.94"/>
    <n v="7.9050000000000002"/>
    <n v="13"/>
    <n v="16.75"/>
  </r>
  <r>
    <n v="1363"/>
    <s v="Kúpna zmluva č. 557/OI/2018"/>
    <n v="3852833"/>
    <s v="https://crz.gov.sk/3852833"/>
    <s v="https://www.crz.gov.sk/data/att/3852836_dokument1.pdf, https://www.crz.gov.sk/data/att/3852839_dokument1.pdf"/>
    <x v="38"/>
    <s v="Typ: ActiveJet AMY-313,Technol.: optická bezdrôtová,Rozlisenie: 1200dpi,Rozhranie: proprietárne,Zaruka: neuvedené"/>
    <n v="10.43"/>
    <n v="10"/>
    <n v="104.3"/>
    <n v="4.25"/>
    <n v="6.12"/>
    <n v="13.55"/>
  </r>
  <r>
    <n v="1364"/>
    <s v="Kúpna zmluva č. 557/OI/2018"/>
    <n v="3852833"/>
    <s v="https://crz.gov.sk/3852833"/>
    <s v="https://www.crz.gov.sk/data/att/3852836_dokument1.pdf, https://www.crz.gov.sk/data/att/3852839_dokument1.pdf"/>
    <x v="16"/>
    <s v="Typ: Kingston HyperX Fury,Druh: DIMM,Kapacita: 4GB,Generacia: DDR3,Frekv.: 1333MHz,Zaruka: neuvedené"/>
    <n v="45.28"/>
    <n v="50"/>
    <n v="2264"/>
    <n v="22.082500000000003"/>
    <n v="31.15"/>
    <n v="48.125"/>
  </r>
  <r>
    <n v="1365"/>
    <s v="Kúpna zmluva č. 557/OI/2018"/>
    <n v="3852833"/>
    <s v="https://crz.gov.sk/3852833"/>
    <s v="https://www.crz.gov.sk/data/att/3852836_dokument1.pdf, https://www.crz.gov.sk/data/att/3852839_dokument1.pdf"/>
    <x v="16"/>
    <s v="Typ: Kingston SR X8 CL9,Druh: SO-DIMM,Kapacita: 4GB,Generacia: DDR3,Frekv.: 1333MHz,Zaruka: neuvedené"/>
    <n v="50.74"/>
    <n v="50"/>
    <n v="2537"/>
    <n v="22.082500000000003"/>
    <n v="31.15"/>
    <n v="48.125"/>
  </r>
  <r>
    <n v="1366"/>
    <s v="Kúpna zmluva č. 557/OI/2018"/>
    <n v="3852833"/>
    <s v="https://crz.gov.sk/3852833"/>
    <s v="https://www.crz.gov.sk/data/att/3852836_dokument1.pdf, https://www.crz.gov.sk/data/att/3852839_dokument1.pdf"/>
    <x v="16"/>
    <s v="Typ: Dell A7187318 2Rx4 server RAM,Druh: DIMM,Kapacita: 16GB,Generacia: DDR3,Frekv.: 1866MHz,Zaruka: neuvedené"/>
    <n v="379.42"/>
    <n v="24"/>
    <n v="9106.08"/>
    <n v="22.082500000000003"/>
    <n v="31.15"/>
    <n v="48.125"/>
  </r>
  <r>
    <n v="1367"/>
    <s v="Nákup počítačového zariadenia a obstaranie IKT"/>
    <n v="4310897"/>
    <s v="https://crz.gov.sk/4310897"/>
    <s v="https://www.crz.gov.sk/data/att/4310898_dokument.pdf"/>
    <x v="8"/>
    <s v="Typ: HPE ProLiant DL380 G10, Proc: 2x Intel Xeon-Gold 6254 18-jadro 3.1GHz,RAM: 512GB,Disk: 2x SSD 400GB SAS 12Gbps SFF, Radic: SAS/SATA RAID 0/1/5/6 2GB Cache, Ethernet: 1x 10/25Gbps, GPU: Zdiel., Vyhotovenie: 2U, OS nezávislý systém manažment, Zaruka: 3+6hod+24/7"/>
    <n v="38743.74"/>
    <n v="2"/>
    <n v="77487.48"/>
    <n v="7209.15"/>
    <n v="15534.78"/>
    <n v="29950.799999999999"/>
  </r>
  <r>
    <n v="1368"/>
    <s v="Nákup počítačového zariadenia a obstaranie IKT"/>
    <n v="4310897"/>
    <s v="https://crz.gov.sk/4310897"/>
    <s v="https://www.crz.gov.sk/data/att/4310898_dokument.pdf"/>
    <x v="8"/>
    <s v="Typ: HPE ProLiant DL380 G10, Proc: 2x Intel Xeon-Gold 6242 16-jadro 2.8GHz,RAM: 512GB,Disk: 2x SSD 400GB SAS 12Gbps SFF, Radic: SAS/SATA RAID 0/1/5/6 2GB Cache, Ethernet: 1x 10/25Gbps, GPU: Zdiel., Vyhotovenie: 2U, OS nezávislý systém manažment, Zaruka: 3+6hod+24/7"/>
    <n v="37561.49"/>
    <n v="1"/>
    <n v="37561.49"/>
    <n v="7209.15"/>
    <n v="15534.78"/>
    <n v="29950.799999999999"/>
  </r>
  <r>
    <n v="1369"/>
    <s v="Nákup počítačového zariadenia a obstaranie IKT"/>
    <n v="4310897"/>
    <s v="https://crz.gov.sk/4310897"/>
    <s v="https://www.crz.gov.sk/data/att/4310898_dokument.pdf"/>
    <x v="8"/>
    <s v="Typ: HPE ProLiant DL380 G10, Proc: 2x Intel Xeon-Gold 5217 8-jadro 3.0GHz,RAM: 64GB,Disk: 2x SSD 400GB SAS 12Gbps SFF, Radic: SAS/SATA RAID 0/1/5/6 2GB Cache, Ethernet: 1x 10/25Gbps, GPU: Zdiel., Vyhotovenie: 2U, OS nezávislý systém manažment, Zaruka: 3+6hod+24/7"/>
    <n v="21826.880000000001"/>
    <n v="1"/>
    <n v="21826.880000000001"/>
    <n v="7209.15"/>
    <n v="15534.78"/>
    <n v="29950.799999999999"/>
  </r>
  <r>
    <n v="1370"/>
    <s v="Nákup počítačového zariadenia a obstaranie IKT"/>
    <n v="4310897"/>
    <s v="https://crz.gov.sk/4310897"/>
    <s v="https://www.crz.gov.sk/data/att/4310898_dokument.pdf"/>
    <x v="48"/>
    <s v="Typ: HPE SN3000B QW937B,Porty/rychl.: 24x 16Gbps FC SFP+ (všetky osadené),Uroven: neuvedené,Vyhot.: 1U,VLAN: neuvedené,Zaruka: 3+6hod+24/7"/>
    <n v="19387.07"/>
    <n v="2"/>
    <n v="38774.14"/>
    <n v="12800"/>
    <n v="18793.535"/>
    <n v="26260.85"/>
  </r>
  <r>
    <n v="1371"/>
    <s v="Nákup počítačového zariadenia a obstaranie IKT"/>
    <n v="4310897"/>
    <s v="https://crz.gov.sk/4310897"/>
    <s v="https://www.crz.gov.sk/data/att/4310898_dokument.pdf"/>
    <x v="18"/>
    <s v="Typ: Cisco C9500-48Y-4C-A Catalyst 9500L DNA Premier High Advantage Program,Porty/rychl.: 48x25Gbps + 4x40/100Gbps FC Uplink,Uroven: 3,Vyhot.: 1U,VLAN: 4000,Zaruka: 3+2hod+24/7+3lic"/>
    <n v="45975.09"/>
    <n v="2"/>
    <n v="91950.18"/>
    <n v="1759.125"/>
    <n v="3923.7249999999999"/>
    <n v="12062.504999999999"/>
  </r>
  <r>
    <n v="1372"/>
    <s v="Nákup počítačového zariadenia a obstaranie IKT"/>
    <n v="4310897"/>
    <s v="https://crz.gov.sk/4310897"/>
    <s v="https://www.crz.gov.sk/data/att/4310898_dokument.pdf"/>
    <x v="2"/>
    <s v="Typ: AOC I2790VQ/BT,Rozlisenie:1920x1080,Frekv:60 Hz,Velkost: 27&quot;,Kontrast:1000:1,Vstupy: HDMI, VGA,Zaruka: neuvedené"/>
    <n v="212.2"/>
    <n v="20"/>
    <n v="4244"/>
    <n v="141.67500000000001"/>
    <n v="194"/>
    <n v="266.75"/>
  </r>
  <r>
    <n v="1373"/>
    <s v="Nákup počítačového zariadenia a obstaranie IKT"/>
    <n v="4310897"/>
    <s v="https://crz.gov.sk/4310897"/>
    <s v="https://www.crz.gov.sk/data/att/4310898_dokument.pdf"/>
    <x v="0"/>
    <s v="Typ: HP Pavilion Gaming 690-0017nc,Proc: 6-jadro passmark 9241,RAM: 8GB,Disk: HDD SATA 1TB 7200,VGA: zdiel.,OS: Win10Pro, klávesnica, myš, DVD, čítačka kariet,Zaruka: neuvedené"/>
    <n v="645.1"/>
    <n v="20"/>
    <n v="12902"/>
    <n v="680"/>
    <n v="991"/>
    <n v="1485.8333333333335"/>
  </r>
  <r>
    <n v="1374"/>
    <s v="Kúpna zmluva"/>
    <n v="4200826"/>
    <s v="https://crz.gov.sk/4200826"/>
    <s v="https://www.crz.gov.sk/data/att/4200828_dokument1.pdf, https://www.crz.gov.sk/data/att/4200829_dokument1.pdf"/>
    <x v="1"/>
    <s v="Typ: HP Probook 440 G6,Proc.: 4-jadro passmark 7992,RAM: 8GB,Disk: SSD NVMe 512GB,VGA: zdiel.,Disp: FHD,OS: Win10Pro, TPM, taška,Zaruka: 2+onsite"/>
    <n v="1043"/>
    <n v="120"/>
    <n v="125160"/>
    <n v="783.15"/>
    <n v="1196.3"/>
    <n v="1455.5"/>
  </r>
  <r>
    <n v="1375"/>
    <s v="Kúpna zmluva"/>
    <n v="4200826"/>
    <s v="https://crz.gov.sk/4200826"/>
    <s v="https://www.crz.gov.sk/data/att/4200828_dokument1.pdf, https://www.crz.gov.sk/data/att/4200829_dokument1.pdf"/>
    <x v="12"/>
    <s v="Typ: Apple iPad 512GB,Proc.: 8-jadro 64-bit,RAM: 4GB,Disk: CF 512GB,Disp.: retina,OS: iOS,wifi,Zaruka: 2"/>
    <n v="1310"/>
    <n v="4"/>
    <n v="5240"/>
    <n v="307.64999999999998"/>
    <n v="533.63"/>
    <n v="761.32"/>
  </r>
  <r>
    <n v="1376"/>
    <s v="Kúpna zmluva"/>
    <n v="4200826"/>
    <s v="https://crz.gov.sk/4200826"/>
    <s v="https://www.crz.gov.sk/data/att/4200828_dokument1.pdf, https://www.crz.gov.sk/data/att/4200829_dokument1.pdf"/>
    <x v="0"/>
    <s v="Typ: HP EliteOne 800 G5 AiO,Proc: 6-jadro passmark 11911,RAM: 8GB,Disk: SSD NVMe 512GB,VGA: zdiel.,OS: Win10Pro, klávesnica, myš, DVD,Monitor: FHD 23.8&quot;,Zaruka: 2"/>
    <n v="1390"/>
    <n v="41"/>
    <n v="56990"/>
    <n v="680"/>
    <n v="991"/>
    <n v="1485.8333333333335"/>
  </r>
  <r>
    <n v="1377"/>
    <s v="Kúpna zmluva"/>
    <n v="4200826"/>
    <s v="https://crz.gov.sk/4200826"/>
    <s v="https://www.crz.gov.sk/data/att/4200828_dokument1.pdf, https://www.crz.gov.sk/data/att/4200829_dokument1.pdf"/>
    <x v="3"/>
    <s v="Typ: HP LaserJet Pro M203dn,Technologia: laser,Farba: nie,Formaty: A4,Rozhrania: USB, ethernet, airprint,RAM: 256MB,Pam. karta: nie,Zasobnik: 250,Rozlisenie: 1200dpi,Duplex: áno,Zaruka: 2"/>
    <n v="230"/>
    <n v="100"/>
    <n v="23000"/>
    <n v="229.78"/>
    <n v="424.2"/>
    <n v="1030.3"/>
  </r>
  <r>
    <n v="1378"/>
    <s v="Kúpna zmluva"/>
    <n v="4200826"/>
    <s v="https://crz.gov.sk/4200826"/>
    <s v="https://www.crz.gov.sk/data/att/4200828_dokument1.pdf, https://www.crz.gov.sk/data/att/4200829_dokument1.pdf"/>
    <x v="4"/>
    <s v="Typ: HP LaserJet Enterprise M725dn,Technologia: laser,Farba: nie,Formaty: A3,Rozhrania: USB, ethernet,RAM: 1GB,Pam. karta: bez,Zasobnik: 500+100,R. tlace: 1200dpi,R. kopirky: 600dpi,R. skenera: 600dpi,Duplex: áno,Zaruka: neuvedené"/>
    <n v="4025"/>
    <n v="1"/>
    <n v="4025"/>
    <n v="393.94499999999999"/>
    <n v="710.01499999999999"/>
    <n v="2552.0574999999999"/>
  </r>
  <r>
    <n v="1379"/>
    <s v="Kúpna zmluva"/>
    <n v="4200826"/>
    <s v="https://crz.gov.sk/4200826"/>
    <s v="https://www.crz.gov.sk/data/att/4200828_dokument1.pdf, https://www.crz.gov.sk/data/att/4200829_dokument1.pdf"/>
    <x v="4"/>
    <s v="Typ: HP LaserJet Enterprise M775dn,Technologia: laser,Farba: áno,Formaty: A3,Rozhrania: USB, ethernet,RAM: 1.536GB,Pam. karta: HDD 320GB,Zasobnik: 250+100,R. tlace: 600dpi,R. kopirky: 600dpi,R. skenera: 600dpi,Duplex: áno,Zaruka: neuvedené"/>
    <n v="5940"/>
    <n v="10"/>
    <n v="59400"/>
    <n v="393.94499999999999"/>
    <n v="710.01499999999999"/>
    <n v="2552.0574999999999"/>
  </r>
  <r>
    <n v="1380"/>
    <s v="Kúpna zmluva"/>
    <n v="4200826"/>
    <s v="https://crz.gov.sk/4200826"/>
    <s v="https://www.crz.gov.sk/data/att/4200828_dokument1.pdf, https://www.crz.gov.sk/data/att/4200829_dokument1.pdf"/>
    <x v="41"/>
    <s v="Typ: Opticon OPR2001 USB-HID,Rychlost: 100 skenov/s,Kompatibilita: AN/UPC/EAN (WPC) incl. Add on, Chinese Post, Codabar/NW-7, Code 11, Code 39, Code 93, Code 128, IATA, Industrial 2of5, Interleaved 2of5, ISBN-ISMN-ISSN, Korean Postal Authority code, Matrix 2of5, MSI/Plessey-UK/Plessey, RSS, S-Code, Telepen, Tri-Optic, Composite codes,Rozhranie: USB,Zaruka: neuvedené"/>
    <n v="112"/>
    <n v="5"/>
    <n v="560"/>
    <n v="78.449999999999989"/>
    <n v="112"/>
    <n v="146"/>
  </r>
  <r>
    <n v="1381"/>
    <s v="Zmluva na dodávku serverov"/>
    <n v="5048484"/>
    <s v="https://crz.gov.sk/zmluva/5048484"/>
    <s v="https://www.crz.gov.sk/data/att/2467477.pdf, https://www.crz.gov.sk/data/att/2467486.pdf"/>
    <x v="8"/>
    <s v="Typ: Lenovo ThinkSystem SR850,Proc: 4x CPU Intel Xeon Gold 6242 16-core,32-thread 2.8GHz,RAM: 1.5TB,Disk: SATA SSD 4x 480GB hotswap,Radic: SAS/SATA RAID0/1/10/5/50/60/60 4GB cache,Ethernet: 1+4x 1Gbps + 2x 10/25Gbps SFP28 + 2x 32Gbps FC + 4x SFP+ SR transceiver,GPU: Zdiel.,Vyhotovenie: rackmount,OS nezávislý systém manažment,Zaruka: 3+4hod+24/7"/>
    <n v="25544.44"/>
    <n v="6"/>
    <n v="153266.63999999998"/>
    <n v="7209.15"/>
    <n v="15534.78"/>
    <n v="29950.799999999999"/>
  </r>
  <r>
    <n v="1382"/>
    <s v="Kúpna zmluva č. OVO1-2019/000769-009"/>
    <n v="4376282"/>
    <s v="https://crz.gov.sk/4376282"/>
    <s v="https://www.crz.gov.sk/data/att/4376285_dokument1.pdf"/>
    <x v="0"/>
    <s v="Typ: HP Z6 G4,Proc: 10-jadro passmark 15650,RAM: 32GB,Disk: SSD NVMe 512GB šifrovaný,VGA: nezdiel. 4GB GDDR5 bližšie nešpec.,OS: Win10Pro, klávesnica, myš, BlueRay, čítačka kariet,Zaruka: neuvedené"/>
    <n v="3316"/>
    <n v="18"/>
    <n v="59688"/>
    <n v="680"/>
    <n v="991"/>
    <n v="1485.8333333333335"/>
  </r>
  <r>
    <n v="1383"/>
    <s v="Kúpna zmluva č. OVO1-2019/000769-009"/>
    <n v="4376282"/>
    <s v="https://crz.gov.sk/4376282"/>
    <s v="https://www.crz.gov.sk/data/att/4376285_dokument1.pdf"/>
    <x v="1"/>
    <s v="Typ: HP ZBook 15u G6,Proc.: 4-jadro passmark 8904,RAM: 16GB,Disk: SSD NVMe 512GB,VGA: nezdiel. 4GB GDDR5 bližšie nešpec.,Disp: FHD,OS: Win10Pro, TPM, dokovacia stanica, ext. klávesnica, ext. myš, taška,Zaruka: 2+onsite"/>
    <n v="1582"/>
    <n v="9"/>
    <n v="14238"/>
    <n v="783.15"/>
    <n v="1196.3"/>
    <n v="1455.5"/>
  </r>
  <r>
    <n v="1384"/>
    <s v="Kúpna zmluva č. OVO1-2019/000769-009"/>
    <n v="4376282"/>
    <s v="https://crz.gov.sk/4376282"/>
    <s v="https://www.crz.gov.sk/data/att/4376285_dokument1.pdf"/>
    <x v="2"/>
    <s v="Typ: HP Z27,Rozlisenie:3840x2160,Frekv:60 Hz,Velkost: 27&quot;,Kontrast:1300:1,Vstupy: DP, miniDP, HDMI, USB-C, USB 3.0,Zaruka: neuvedené"/>
    <n v="524"/>
    <n v="18"/>
    <n v="9432"/>
    <n v="141.67500000000001"/>
    <n v="194"/>
    <n v="266.75"/>
  </r>
  <r>
    <n v="1385"/>
    <s v="Kúpna zmluva č. OVO1-2019/000769-009"/>
    <n v="4376282"/>
    <s v="https://crz.gov.sk/4376282"/>
    <s v="https://www.crz.gov.sk/data/att/4376285_dokument1.pdf"/>
    <x v="23"/>
    <s v="Typ: HP LT4120,Rozhranie: PCIe x1,Rychlost: neuvedené, pre VWAN,Zaruka: neuvedené"/>
    <n v="100"/>
    <n v="11"/>
    <n v="1100"/>
    <n v="9.8249999999999993"/>
    <n v="21.14"/>
    <n v="248.75"/>
  </r>
  <r>
    <n v="1386"/>
    <s v="Kúpna zmluva č. OVO1-2019/000769-009"/>
    <n v="4376282"/>
    <s v="https://crz.gov.sk/4376282"/>
    <s v="https://www.crz.gov.sk/data/att/4376285_dokument1.pdf"/>
    <x v="6"/>
    <s v="Typ: HP ScanJet Pro 4500 fn1, Format: A4, Rozlisenie: 1200dpi, Zasobnik: 50, USB, LAN,Zaruka: 3"/>
    <n v="757"/>
    <n v="50"/>
    <n v="37850"/>
    <n v="112.19999999999999"/>
    <n v="252"/>
    <n v="2310"/>
  </r>
  <r>
    <n v="1387"/>
    <s v="Kúpna zmluva č. OVO1-2019/000769-009"/>
    <n v="4376282"/>
    <s v="https://crz.gov.sk/4376282"/>
    <s v="https://www.crz.gov.sk/data/att/4376285_dokument1.pdf"/>
    <x v="13"/>
    <s v="Typ: HP Designjet T1700dr, 44&quot;,Technologia: termálna atramentová,Farba: áno,Formaty: A0,Rozhrania: USB, ethernet,RAM: 128GB,Pam. karta: HDD 500GB,Zasobnik: rolka/automatická rezačka,Rozlisenie: 2400x1200dpi,Zaruka: neuvedené"/>
    <n v="5700"/>
    <n v="1"/>
    <n v="5700"/>
    <n v="1383.98"/>
    <n v="1866.7"/>
    <n v="4574.5833333333339"/>
  </r>
  <r>
    <n v="1388"/>
    <s v="Kúpna zmluva č. 9001/0053/21"/>
    <n v="6063028"/>
    <s v="https://crz.gov.sk/zmluva/6063028"/>
    <s v="https://www.crz.gov.sk/data/att/3076349.pdf"/>
    <x v="18"/>
    <s v="Typ: HPE FlexNetwork 5510 48G 4SFP+ HI,Porty/rychl.: 48x 1Gbps + 4x 10Gbps SFP+ uplink + 40Gbps SFP+ uplink,Uroven: neuvedené,Vyhot.: 1U,VLAN: neuvedené,Zaruka: neuvedené"/>
    <n v="6139.9"/>
    <n v="9"/>
    <n v="55259.1"/>
    <n v="1759.125"/>
    <n v="3923.7249999999999"/>
    <n v="12062.504999999999"/>
  </r>
  <r>
    <n v="1389"/>
    <s v="Kúpna zmluva č. 9001/0053/21"/>
    <n v="6063028"/>
    <s v="https://crz.gov.sk/zmluva/6063028"/>
    <s v="https://www.crz.gov.sk/data/att/3076349.pdf"/>
    <x v="5"/>
    <s v="Rozširovací modul k LAN prepínaču,Typ: HPE FlexNetwork 5510 2-port QSFP+ module,Porty: 2x 40Gbps QSFP+,Zaruka: neuvedené"/>
    <n v="764.8"/>
    <n v="9"/>
    <n v="6883.2"/>
    <n v="17.549999999999997"/>
    <n v="275.8"/>
    <n v="11191.057499999999"/>
  </r>
  <r>
    <n v="1390"/>
    <s v="Kúpna zmluva č. 9001/0053/21"/>
    <n v="6063028"/>
    <s v="https://crz.gov.sk/zmluva/6063028"/>
    <s v="https://www.crz.gov.sk/data/att/3076349.pdf"/>
    <x v="5"/>
    <s v="Transceiver k LAN prepínaču,Typ: HPE X140 40G QSFP+ LC BiDi 100-m MM camputransceiver,Porty: 1x LC 40Gbps QSFP+,PrenosVzd: 100m,Zaruka: neuvedené"/>
    <n v="351.6"/>
    <n v="12"/>
    <n v="4219.2000000000007"/>
    <n v="17.549999999999997"/>
    <n v="275.8"/>
    <n v="11191.057499999999"/>
  </r>
  <r>
    <n v="1391"/>
    <s v="Kúpna zmluva č. 9001/0053/21"/>
    <n v="6063028"/>
    <s v="https://crz.gov.sk/zmluva/6063028"/>
    <s v="https://www.crz.gov.sk/data/att/3076349.pdf"/>
    <x v="5"/>
    <s v="Transceiver k LAN prepínaču,Typ: HPE X130 10G SFP+ LC SR transceiver,Porty: 1x LC 10Gbps SFP+,PrenosVzd: 100m,Zaruka: neuvedené"/>
    <n v="13.9"/>
    <n v="25"/>
    <n v="347.5"/>
    <n v="17.549999999999997"/>
    <n v="275.8"/>
    <n v="11191.057499999999"/>
  </r>
  <r>
    <n v="1392"/>
    <s v="Kúpna zmluva č. 9001/0053/21"/>
    <n v="6063028"/>
    <s v="https://crz.gov.sk/zmluva/6063028"/>
    <s v="https://www.crz.gov.sk/data/att/3076349.pdf"/>
    <x v="34"/>
    <s v="Typ: LCS3 CAT.6A flat 24 connector panel,Spec.: CAT5e až CAT8,Rozmer: 1U,PocetZasuviek: 24,Zaruka: neuvedené"/>
    <n v="206.5"/>
    <n v="9"/>
    <n v="1858.5"/>
    <n v="40.5"/>
    <n v="43.39"/>
    <n v="69.25"/>
  </r>
  <r>
    <n v="1393"/>
    <s v="Kúpna zmluva č. 9001/0053/21"/>
    <n v="6063028"/>
    <s v="https://crz.gov.sk/zmluva/6063028"/>
    <s v="https://www.crz.gov.sk/data/att/3076349.pdf"/>
    <x v="19"/>
    <s v="Typ: Aruba AP-514,Urcenie: interiér,LAN: 2x1Gbps,Pasma: 2,4+5GHz,Rychl.: 574Mbps/rádio,Normy: 802.11ac-af + e + n + PoE + MIMO 4x4,Roaming: áno,Max. SSID: 16,Zaruka: neuvedené"/>
    <n v="804.7"/>
    <n v="22"/>
    <n v="17703.400000000001"/>
    <n v="88.21"/>
    <n v="134.57"/>
    <n v="252.7"/>
  </r>
  <r>
    <n v="1394"/>
    <s v="Kúpna zmluva č. 9001/0053/21"/>
    <n v="6063028"/>
    <s v="https://crz.gov.sk/zmluva/6063028"/>
    <s v="https://www.crz.gov.sk/data/att/3076349.pdf"/>
    <x v="74"/>
    <s v="Typ: Aruba 7205 2-port 10GBASE-X (SFP+) controller,PocetOvlAP: 256,Redundancia: áno,PocetSSID: 4096,Funkcie: Vyhodnocovanie kvality RF, detekcia Rogue AP, WIFI IDS, IPFix, L3 roaming, plánovanie sily signálu,Zaruka: neuvedené"/>
    <n v="17235.3"/>
    <n v="1"/>
    <n v="17235.3"/>
    <n v="17235.3"/>
    <n v="17235.3"/>
    <n v="17235.3"/>
  </r>
  <r>
    <n v="1395"/>
    <s v="Kúpna zmluva č. SE-VO1-2021/002225-009"/>
    <n v="5982785"/>
    <s v="https://crz.gov.sk/zmluva/5982785"/>
    <s v="https://www.crz.gov.sk/data/att/3026840.pdf"/>
    <x v="0"/>
    <s v="Typ: Intel NUC i7-10710U,Proc: 6-jadro passmark 10006,RAM: 8GB,Disk: SSD SATA 512GB,VGA: zdiel.,OS: Linux,Zaruka: neuvedené"/>
    <n v="1100"/>
    <n v="100"/>
    <n v="110000"/>
    <n v="680"/>
    <n v="991"/>
    <n v="1485.8333333333335"/>
  </r>
  <r>
    <n v="1396"/>
    <s v="Kúpna zmluva č. SE-VO1-2021/002225-009"/>
    <n v="5982785"/>
    <s v="https://crz.gov.sk/zmluva/5982785"/>
    <s v="https://www.crz.gov.sk/data/att/3026840.pdf"/>
    <x v="51"/>
    <s v="Typ: Samsung Galaxy A52,Proc.:neuvedené,RAM: neuvedené,Ulozisko: neuvedené,Fotoaparat: 64MPx,OS: Android 11,Zaruka: neuvedené"/>
    <n v="750"/>
    <n v="100"/>
    <n v="75000"/>
    <n v="506.75"/>
    <n v="654.5"/>
    <n v="796.25"/>
  </r>
  <r>
    <n v="1397"/>
    <s v="Kúpna zmluva č. SE-VO1-2021/002225-009"/>
    <n v="5982785"/>
    <s v="https://crz.gov.sk/zmluva/5982785"/>
    <s v="https://www.crz.gov.sk/data/att/3026840.pdf"/>
    <x v="41"/>
    <s v="Typ: Zebra Symbol LS2208,Rychlost: 100 skenov/s,Kompatibilita:UPC/EAN, UPC/EAN with Supplementals, UPC/ EAN 128, Code 39, Code 39 Full ASCII, Code 39 TriOptic, Code 128, Code 128 Full ASCII Codabar, Interleaved 2 of 5, Discrete 2 of 5, Code 93, MSI, Code 11, IATA, GS1 DataBar (formerly RSS) variants, Chinese 2 of 5,Rozhranie: USB,Zaruka: neuvedené"/>
    <n v="180"/>
    <n v="100"/>
    <n v="18000"/>
    <n v="78.449999999999989"/>
    <n v="112"/>
    <n v="146"/>
  </r>
  <r>
    <n v="1398"/>
    <s v="Kúpna zmluva č. SE-VO1-2021/002225-009"/>
    <n v="5982785"/>
    <s v="https://crz.gov.sk/zmluva/5982785"/>
    <s v="https://www.crz.gov.sk/data/att/3026840.pdf"/>
    <x v="75"/>
    <s v="Typ: ARH Osmond,Rozlisenie: 700 PPI,Kvalita: 24bit/pixel, resp. 8-bit/pixel v IR irežime,Rychlost: 100 skenov/s,Kompatibilita: ICAO dokumenty špecifikované pre ICAO 9303 časť 1, časť 1v2, časť 2, časť 3 a časť 3 v2 pre typ D-1, ID-2 a ID-3 MRZ optického rozlíšenia znakov,Rozhranie: USB,Zaruka: neuvedené"/>
    <n v="2080"/>
    <n v="100"/>
    <n v="208000"/>
    <n v="2080"/>
    <n v="2080"/>
    <n v="2080"/>
  </r>
  <r>
    <n v="1399"/>
    <s v="Kúpna zmluva č. SE-VO1-2021/002225-009"/>
    <n v="5982785"/>
    <s v="https://crz.gov.sk/zmluva/5982785"/>
    <s v="https://www.crz.gov.sk/data/att/3026840.pdf"/>
    <x v="5"/>
    <s v="Typ: Futronic FS52,Rozlisenie: 800x750 pixelov / 550 ppi,RychlSnimania: 15 FPS,Rozhranie: USB 2.0,Zaruka: neuvedené"/>
    <n v="400"/>
    <n v="100"/>
    <n v="40000"/>
    <n v="17.549999999999997"/>
    <n v="275.8"/>
    <n v="11191.057499999999"/>
  </r>
  <r>
    <n v="1400"/>
    <s v="Kúpna zmluva č. SE-VO1-2021/002225-009"/>
    <n v="5982785"/>
    <s v="https://crz.gov.sk/zmluva/5982785"/>
    <s v="https://www.crz.gov.sk/data/att/3026840.pdf"/>
    <x v="76"/>
    <s v="Typ: Wacom STU-430,RozlDisp: 320x200,RozlSnimania: 2540 lpi,Presnost: +/-0.5mm,Rychlost: 200 bodov/s,UrovnePritlaku: 1024,Sifrovanie: AES 256bit + RSA 2048bit,Rozhranie: USB,Zaruka: neuvedené"/>
    <n v="350"/>
    <n v="100"/>
    <n v="35000"/>
    <n v="350"/>
    <n v="350"/>
    <n v="350"/>
  </r>
  <r>
    <n v="1401"/>
    <s v="Kúpna zmluva č. SE-VO1-2021/002225-009"/>
    <n v="5982785"/>
    <s v="https://crz.gov.sk/zmluva/5982785"/>
    <s v="https://www.crz.gov.sk/data/att/3026840.pdf"/>
    <x v="5"/>
    <s v="Statív pod mobilný telefón na snímanie tváre,Typ: Velbon EX-Macro,Farba: čierna,PocetNoh: 3,MaxVyska: 56.3cm,Zavit: 1.4&quot;,Volnost: otáčanie okolo zvislej a vodorovnej osi, náklon na výšku,Zaruka: neuvedené"/>
    <n v="170"/>
    <n v="40"/>
    <n v="6800"/>
    <n v="17.549999999999997"/>
    <n v="275.8"/>
    <n v="11191.057499999999"/>
  </r>
  <r>
    <n v="1402"/>
    <s v="Kúpna zmluva č. OVO1-2019000026-022"/>
    <n v="3990748"/>
    <s v="https://crz.gov.sk/3990748"/>
    <s v="https://www.crz.gov.sk/data/att/3990756_dokument1.pdf"/>
    <x v="4"/>
    <s v="Typ: HP Color LaserJet Enterprise Flow MFP M880z+,Technologia: laser,Farba: áno, Formaty: A3-A5,Rozhrania: USB, Ethernet,RAM: 2.5GB, Hdd: 320GB, Zasobnik: 2000+100, R. tlace: 1200dpi, R. kopirky: 600dpi, R. skenera: 600dpi,Zaruka: 3+NBD"/>
    <n v="2193.1"/>
    <n v="2000"/>
    <n v="4386200"/>
    <n v="393.94499999999999"/>
    <n v="710.01499999999999"/>
    <n v="2552.0574999999999"/>
  </r>
  <r>
    <n v="1403"/>
    <s v="Kúpna zmluva č. OVO1-2019/000486-002"/>
    <n v="4313122"/>
    <s v="https://crz.gov.sk/4313122"/>
    <s v="https://www.crz.gov.sk/data/att/4313125_dokument1.pdf"/>
    <x v="0"/>
    <s v="Typ: HP Z4 G4,Proc: 10-jadro passmark 21600,RAM: 32GB,Disk: SSD 512GB,Disk 2: SATA III,VGA: nezdiel 8GB Nvidia RTX2070 passmark 13500,Optická mechanika: DVD+ RW, DVD- RW, DVD+ R SL/DVDR SL,OS: Bez OS podpora Microsoft Windows 10 Pro 64-bit SK,Digitalizačná snímacia jednotka: Virtuos CCD HT-310A umožňujúca spracovanie čiarového kódu Interleave2of5,Pripojiteľnosť USB,Záložný zdroj: CyberPower UT Series UPS 1500VA/900W UPS s 900W/1500 VA,Vstup 230 V,počet výstupov 4,Reproduktory: Logitech Z533 Performance Speakers - reproduktory 2.1, min 60W RMS,Klávesnica:bezdrôtová,SK lokalizácia,Myš: Logitech MX Master 2S, laserová, bezdrôtová bluetooth, USB-C, integrovaná batéria, min. 4000 DPI,Výrobca a model monitora 1: Fujitsu P27-8 TS UHD  Monitor 1: 27&quot; 4K (3840x2160 px),antireflexný povrch, IPS, typ LCD, podsvietenie LED, Jas 350 cd/m2, 4x Porty USB 3.0, 2x HDMI, 1x DisplayPort, 1x miniDisplayPort) nastavenie výšky a sklonu  Výrobca a model monitora 2: Fujitsu P27-8 TS UHD  Monitor 2: 27&quot; 4K (3840x2160 px),antireflexný povrch, IPS, typ LCD, podsvietenie LED, Jas 350 cd/m2, 4x Porty USB 3.0, 2x HDMI, 1x DisplayPort, 1x miniDisplayPort), nastavenie výšky a sklonu  Environmentálne charakteristiky: Energy Star,Zaruka: neuvedené"/>
    <n v="5451"/>
    <n v="6"/>
    <n v="39247.199999999997"/>
    <n v="680"/>
    <n v="991"/>
    <n v="1485.8333333333335"/>
  </r>
  <r>
    <n v="1404"/>
    <s v="Kúpna zmluva č. OVO1-2019/000486-002"/>
    <n v="4313122"/>
    <s v="https://crz.gov.sk/4313122"/>
    <s v="https://www.crz.gov.sk/data/att/4313125_dokument1.pdf"/>
    <x v="0"/>
    <s v="Typ: Fujitsu ESPRIMO P558/E94+,Proc: 4-jadro passmark 8000,RAM: 8GB,Disk: SSD 128GB Disk 2: SATA III 500GB ,VGA:  zdiel,Optická mechanika: DVD+ RW, DVD- RW, DVD+ R SL / DVDR SL,OS: Bez OS, podpora Microsoft Windows 10 Pro 64-bit SK,  Digitalizačná snímacia jednotka: Virtuos CCD HT-310A umožňujúca spracovanie čiarového kódu Interleave2of5,   Monitor 1:Fujitsu P27-8 TS Pro  Monitor: 27&quot; (2560x1440 px),Zaruka: neuvedene"/>
    <n v="1018"/>
    <n v="150"/>
    <n v="183240"/>
    <n v="680"/>
    <n v="991"/>
    <n v="1485.8333333333335"/>
  </r>
  <r>
    <n v="1405"/>
    <s v="Kúpna zmluva č. OVO1-2019/000486-002"/>
    <n v="4313122"/>
    <s v="https://crz.gov.sk/4313122"/>
    <s v="https://www.crz.gov.sk/data/att/4313125_dokument1.pdf"/>
    <x v="4"/>
    <s v="Typ: Xerox VersaLink C7030_S,Technologia: laser,Farba: áno,Formaty: A3,Rozhrania: USB, ethernet Gigabit Ethernet 10/100/1000Base-T,RAM: 4GB,Pam. karta: neuvedené,Zasobnik: 3x,Rozl. tlace: 1200dpi,Rozl. kopirky :1200x2400dpi,Rozl. skenera: 600dpi ČB/F,Duplex: áno,Zaruka: neuvedene"/>
    <n v="2620"/>
    <n v="8"/>
    <n v="25152"/>
    <n v="393.94499999999999"/>
    <n v="710.01499999999999"/>
    <n v="2552.0574999999999"/>
  </r>
  <r>
    <n v="1406"/>
    <s v="Kúpna zmluva č. OVO1-2019/000486-002"/>
    <n v="4313122"/>
    <s v="https://crz.gov.sk/4313122"/>
    <s v="https://www.crz.gov.sk/data/att/4313125_dokument1.pdf"/>
    <x v="0"/>
    <s v="Typ: Fujitsu ESPRIMO P558/E94+,Proc: 4-jadro passmark 15000,RAM: 16GB,RAM: 16GB DDR4,Disk: SSD 256GB ,VGA:  zdiel.,Opticka mechanika: DVD+ RW, DVD- RW, DVD+ R SL / DVDR SL,OS: Microsoft Windows 10 Pro 64-bit SK  Digitalizačná snímacia jednotka: Virtuos CCD HT-310A umožňujúca spracovanie čiarového kódu Interleave2of5,   Monitor 1:iiyama ProLite T2735MSC-B2  Monitor: 27&quot; (1920x1080 px), dotykový,Zaruka: neuvedene"/>
    <n v="1829"/>
    <n v="4"/>
    <n v="8779.1999999999989"/>
    <n v="680"/>
    <n v="991"/>
    <n v="1485.8333333333335"/>
  </r>
  <r>
    <n v="1407"/>
    <s v="Kúpna zmluva č. OVO1-2019/000486-002"/>
    <n v="4313122"/>
    <s v="https://crz.gov.sk/4313122"/>
    <s v="https://www.crz.gov.sk/data/att/4313125_dokument1.pdf"/>
    <x v="3"/>
    <s v="Typ: EPSON DLQ-3500 ,Technologia: maticová bodová/ ihličková,Farba: nie,Formaty: neuvedené,Podávač: Listový papier (jedno- a viacvrstvový),Nekonečný papier (jedno- a viacvrstvový),Štítky (jedno- a viacvrstvové),Papier v kotúčoch,Obálky,Lepenka,Rozhrania: USB 2.0 typu B, ethernet Ethernet (100 Base-TX/10 Base-T),RAM: neuvedené,Zaruka: neuvedené"/>
    <n v="3000"/>
    <n v="2"/>
    <n v="7200"/>
    <n v="229.78"/>
    <n v="424.2"/>
    <n v="1030.3"/>
  </r>
  <r>
    <n v="1408"/>
    <s v="Kúpna zmluva č. OVO1-2019/000486-002"/>
    <n v="4313122"/>
    <s v="https://crz.gov.sk/4313122"/>
    <s v="https://www.crz.gov.sk/data/att/4313125_dokument1.pdf"/>
    <x v="1"/>
    <s v="Typ: Lenovo TP L490,Proc.: 2-jadro passmark 5500,RAM: 8GB,Disk: SSD 512GB,VGA: zdiel,Disp: 2880x1800,OS: Win 10 Pro 64-bit SK, Digitalizačná snímacia jednotka: Virtuos CCD HT-310A umožňujúca spracovanie čiarového kódu Interleave2of5, pripojiteľnosť USB,Zaruka: neuvedené"/>
    <n v="1290"/>
    <n v="6"/>
    <n v="9288"/>
    <n v="783.15"/>
    <n v="1196.3"/>
    <n v="1455.5"/>
  </r>
  <r>
    <n v="1409"/>
    <s v="Kúpna zmluva č. OVO1-2019/000486-002"/>
    <n v="4313122"/>
    <s v="https://crz.gov.sk/4313122"/>
    <s v="https://www.crz.gov.sk/data/att/4313125_dokument1.pdf"/>
    <x v="7"/>
    <s v="Typ: Epson EB-2142W Projektor 3LCD,Rozl.: 1280×800 (16:10),Svietivost: 4200lm,Kontrast: 15000:1, HDMI, MHL, S-Video, DSub, USB, držiak na projektor,Zaruka: neuvedené"/>
    <n v="1000"/>
    <n v="1"/>
    <n v="1200"/>
    <n v="709.95"/>
    <n v="1000"/>
    <n v="5171.4583333333339"/>
  </r>
  <r>
    <n v="1410"/>
    <s v="Kúpna zmluva č. OVO1-2019/000486-002"/>
    <n v="4313122"/>
    <s v="https://crz.gov.sk/4313122"/>
    <s v="https://www.crz.gov.sk/data/att/4313125_dokument1.pdf"/>
    <x v="50"/>
    <s v="Typ: TRIUMPH BOARD 65&quot; INTERACTIVE FLAT PANEL,Velkost: 58&quot;,Rozl.: 4k,Obslúžny softvér (vytváranie interaktívnych publikácii z PDF súborov, príprava animovaných prezentácií),Diaľkové ovládanie,Zaruka: neuvedene"/>
    <n v="2700"/>
    <n v="1"/>
    <n v="3240"/>
    <n v="2700"/>
    <n v="2700"/>
    <n v="2750"/>
  </r>
  <r>
    <n v="1411"/>
    <s v="Kúpna zmluva - Rozšírenie infraštruktúry Jednotného informačného systému v cestnej doprave"/>
    <n v="5252229"/>
    <s v="https://crz.gov.sk/zmluva/5252229"/>
    <s v="https://www.crz.gov.sk/data/att/2587955.pdf"/>
    <x v="14"/>
    <s v="Typ: V4-2Sl 0-900U,Disk: 900GB 10 000 rpm,Rozhranie: 6GB SAS,Zaruka: neuvedené"/>
    <n v="1265"/>
    <n v="37"/>
    <n v="56166"/>
    <n v="55.5"/>
    <n v="91.88"/>
    <n v="148.36000000000001"/>
  </r>
  <r>
    <n v="1412"/>
    <s v="Kúpna zmluva - Rozšírenie infraštruktúry Jednotného informačného systému v cestnej doprave"/>
    <n v="5252229"/>
    <s v="https://crz.gov.sk/zmluva/5252229"/>
    <s v="https://www.crz.gov.sk/data/att/2587955.pdf"/>
    <x v="10"/>
    <s v="Typ: VNXB6GSDAE25F,Vyska: 2U,Podporované typy diskov: 2,5&quot; disky FLASH a SAS, rozhranie: 6GB SAS, počet diskov 25,Zaruka: neuvedene"/>
    <n v="4040"/>
    <n v="2"/>
    <n v="9696"/>
    <n v="98.7"/>
    <n v="172.56"/>
    <n v="2312.5"/>
  </r>
  <r>
    <n v="1413"/>
    <s v="Kúpna zmluva - Rozšírenie infraštruktúry Jednotného informačného systému v cestnej doprave"/>
    <n v="5252229"/>
    <s v="https://crz.gov.sk/zmluva/5252229"/>
    <s v="https://www.crz.gov.sk/data/att/2587955.pdf"/>
    <x v="5"/>
    <s v="Prepojovací SAS kábel, 5m, prenos rýchlosť: min. 6 GB,Zaruka: neuvedene"/>
    <n v="785"/>
    <n v="4"/>
    <n v="3768"/>
    <n v="17.549999999999997"/>
    <n v="275.8"/>
    <n v="11191.057499999999"/>
  </r>
  <r>
    <n v="1415"/>
    <s v="Kúpna zmluva - Rozšírenie infraštruktúry Jednotného informačného systému v cestnej doprave"/>
    <n v="5252229"/>
    <s v="https://crz.gov.sk/zmluva/5252229"/>
    <s v="https://www.crz.gov.sk/data/att/2587955.pdf"/>
    <x v="14"/>
    <s v="Typ:  VNX 600GB 12 1 OK SAS 25X2.5 DPEIDAE UPG,Kapacita: 600GB,Rozhranie: 6GB SAS"/>
    <n v="692.5"/>
    <n v="12"/>
    <n v="9972"/>
    <n v="55.5"/>
    <n v="91.88"/>
    <n v="148.36000000000001"/>
  </r>
  <r>
    <n v="1416"/>
    <s v="Kúpna zmluva - Rozšírenie infraštruktúry Jednotného informačného systému v cestnej doprave"/>
    <n v="5252229"/>
    <s v="https://crz.gov.sk/zmluva/5252229"/>
    <s v="https://www.crz.gov.sk/data/att/2587955.pdf"/>
    <x v="14"/>
    <s v="Typ: V4-2Sl 0-900U (VNX 37 900GB JOK SAS 25X2.5 DPE/DAE UPG),Kapacita: 900GB 10 000rpm,Rozhranie: 6GB SAS "/>
    <n v="1265"/>
    <n v="37"/>
    <n v="56166"/>
    <n v="55.5"/>
    <n v="91.88"/>
    <n v="148.36000000000001"/>
  </r>
  <r>
    <n v="1417"/>
    <s v="Kúpna zmluva - Rozšírenie infraštruktúry Jednotného informačného systému v cestnej doprave"/>
    <n v="5252229"/>
    <s v="https://crz.gov.sk/zmluva/5252229"/>
    <s v="https://www.crz.gov.sk/data/att/2587955.pdf"/>
    <x v="10"/>
    <s v="Typ: VNXB6GSDAE25F,Vyska: 2U,Podporované typy diskov: 2,5&quot; disky FLASH a SAS,Rozhranie: 6GB SAS, počet diskov 25"/>
    <n v="4040"/>
    <n v="2"/>
    <n v="9696"/>
    <n v="98.7"/>
    <n v="172.56"/>
    <n v="2312.5"/>
  </r>
  <r>
    <n v="1418"/>
    <s v="Kúpna zmluva - Rozšírenie infraštruktúry Jednotného informačného systému v cestnej doprave"/>
    <n v="5252229"/>
    <s v="https://crz.gov.sk/zmluva/5252229"/>
    <s v="https://www.crz.gov.sk/data/att/2587955.pdf"/>
    <x v="5"/>
    <s v="Typ: Prepojovací SAS kábel, 5m,Prenos rýchlosť: 6GB"/>
    <n v="520"/>
    <n v="41"/>
    <n v="25584"/>
    <n v="17.549999999999997"/>
    <n v="275.8"/>
    <n v="11191.057499999999"/>
  </r>
  <r>
    <n v="1419"/>
    <s v="Kúpna zmluva - Rozšírenie infraštruktúry Jednotného informačného systému v cestnej doprave"/>
    <n v="5252229"/>
    <s v="https://crz.gov.sk/zmluva/5252229"/>
    <s v="https://www.crz.gov.sk/data/att/2587955.pdf"/>
    <x v="14"/>
    <s v="Typ:VNX 600GB 12 1 OK SAS 25X2.5 DPEIDAE UPG,Kapacita: 600GB,Rozhranie: 6GB SAS"/>
    <n v="4335"/>
    <n v="1"/>
    <n v="5202"/>
    <n v="55.5"/>
    <n v="91.88"/>
    <n v="148.36000000000001"/>
  </r>
  <r>
    <n v="1420"/>
    <s v="Kúpna zmluva - Rozšírenie infraštruktúry Jednotného informačného systému v cestnej doprave"/>
    <n v="5252229"/>
    <s v="https://crz.gov.sk/zmluva/5252229"/>
    <s v="https://www.crz.gov.sk/data/att/2587955.pdf"/>
    <x v="4"/>
    <s v="Typ: HP PageWide Enteprise Color MFP 586dn,Technologia: Atrament,Farba: áno,Formaty: A4,Rozhrania:  10/100/1000T Ethernet, USB 2.0 , podpora 802.1x,RAM: 2GB,HDD: 320GB, Pam. karta: neuvedené,Zasobnik: 2x,Rozl. tlace, scanu, kopírovania: 600 dpi,Hmotnosti médií: 60 až 300 g/m2,Obrazovka LCD: áno 20,3 cm, OS: Win 7,8,10,Zaruka: nevuedené"/>
    <n v="2465"/>
    <n v="1"/>
    <n v="2958"/>
    <n v="393.94499999999999"/>
    <n v="710.01499999999999"/>
    <n v="2552.0574999999999"/>
  </r>
  <r>
    <n v="1421"/>
    <s v="Kúpna zmluva - Rozšírenie infraštruktúry Jednotného informačného systému v cestnej doprave"/>
    <n v="5252229"/>
    <s v="https://crz.gov.sk/zmluva/5252229"/>
    <s v="https://www.crz.gov.sk/data/att/2587955.pdf"/>
    <x v="4"/>
    <s v="Typ: HP PageWide 777z,Technologia: Atrament,Farba: áno,Formaty: A3,Rozhrania:  10/100/1000T Ethernet, USB 2.0 , podpora 802.1x,RAM: 1,5GB,HDD: 126GB, Pam. karta: neuvedené,Zasobnik: 2x,Rozl.: 600 dpi,  Kvalita skenovania 600 dpi), kopírovania 600 dpi, hmotnosti médií: 60 až 300 g/m2, obrazovka LCD: áno 20,3 cm, SW: Win 7,8,10, Odporúčaná mesačná záťaž 20 000 strán, Maximálna mesačná záťaž 100 000 strán,Zaruka: neuvedene"/>
    <n v="4550"/>
    <n v="1"/>
    <n v="5460"/>
    <n v="393.94499999999999"/>
    <n v="710.01499999999999"/>
    <n v="2552.0574999999999"/>
  </r>
  <r>
    <n v="1422"/>
    <s v="Kúpna zmluva - Rozšírenie infraštruktúry Jednotného informačného systému v cestnej doprave"/>
    <n v="5252229"/>
    <s v="https://crz.gov.sk/zmluva/5252229"/>
    <s v="https://www.crz.gov.sk/data/att/2587955.pdf"/>
    <x v="0"/>
    <s v="Typ: HP EliteDesk 705 G4 Small Form Factor PC, Proc.: passmark  8600 , RAM: 8GB, Disk: SSD 256GB,VGA:  zdiel, výstupy 2x DP , Optická mechanika: Interná DVD+/-RW, OS: Microsoft Windows 10 Pro 64-bit SK, Monitor 1:iiyama ProLite T2735MSC-B2  Monitor: 27&quot; (1920x1080 px), dotykový,Zaruka: neuvedené"/>
    <n v="993"/>
    <n v="200"/>
    <n v="238320"/>
    <n v="680"/>
    <n v="991"/>
    <n v="1485.8333333333335"/>
  </r>
  <r>
    <n v="1423"/>
    <s v="Kúpna zmluva - Rozšírenie infraštruktúry Jednotného informačného systému v cestnej doprave"/>
    <n v="5252229"/>
    <s v="https://crz.gov.sk/zmluva/5252229"/>
    <s v="https://www.crz.gov.sk/data/att/2587955.pdf"/>
    <x v="2"/>
    <s v="Typ: HP EliteDisplax E243, Rozlisenie: 1920 x 1080, Frekvencia: 60Hz,Velkost: 23,8&quot;,Technológia: LED,Kontrast: 1000:1,Vstupy: HDMI, VGA, 3x USB,matný, ,Zaruka: 5"/>
    <n v="175"/>
    <n v="760"/>
    <n v="159600"/>
    <n v="141.67500000000001"/>
    <n v="194"/>
    <n v="266.75"/>
  </r>
  <r>
    <n v="1424"/>
    <s v="Kúpna zmluva - Rozšírenie infraštruktúry Jednotného informačného systému v cestnej doprave"/>
    <n v="5252229"/>
    <s v="https://crz.gov.sk/zmluva/5252229"/>
    <s v="https://www.crz.gov.sk/data/att/2587955.pdf"/>
    <x v="2"/>
    <s v="Typ: HP EliteDisplax E243i, Rozlisenie: 1920 x 1080, Frekvencia: 60Hz,Velkost: 24&quot;, Technológia: LED, Kontrast: 1000:1,Vstupy: HDMI, VGA, 3x USB,matný, Zaruka: 5"/>
    <n v="219"/>
    <n v="200"/>
    <n v="52560"/>
    <n v="141.67500000000001"/>
    <n v="194"/>
    <n v="266.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2" cacheId="0" applyNumberFormats="0" applyBorderFormats="0" applyFontFormats="0" applyPatternFormats="0" applyAlignmentFormats="0" applyWidthHeightFormats="1" dataCaption="Hodnoty" grandTotalCaption="Celkovo" updatedVersion="6" minRefreshableVersion="3" itemPrintTitles="1" createdVersion="6" indent="0" outline="1" outlineData="1" multipleFieldFilters="0" rowHeaderCaption="Zariadenie">
  <location ref="A3:G81" firstHeaderRow="0" firstDataRow="1" firstDataCol="1"/>
  <pivotFields count="13">
    <pivotField showAll="0"/>
    <pivotField showAll="0"/>
    <pivotField showAll="0"/>
    <pivotField showAll="0"/>
    <pivotField showAll="0"/>
    <pivotField axis="axisRow" dataField="1" showAll="0" sortType="ascending">
      <items count="78">
        <item x="56"/>
        <item x="40"/>
        <item x="41"/>
        <item x="75"/>
        <item x="37"/>
        <item x="64"/>
        <item x="9"/>
        <item x="46"/>
        <item x="17"/>
        <item x="22"/>
        <item x="60"/>
        <item x="50"/>
        <item x="36"/>
        <item x="54"/>
        <item x="61"/>
        <item x="45"/>
        <item x="39"/>
        <item x="65"/>
        <item x="31"/>
        <item x="18"/>
        <item x="66"/>
        <item x="71"/>
        <item x="49"/>
        <item x="51"/>
        <item x="63"/>
        <item x="53"/>
        <item x="2"/>
        <item x="67"/>
        <item x="4"/>
        <item x="38"/>
        <item x="1"/>
        <item x="30"/>
        <item x="62"/>
        <item x="34"/>
        <item x="42"/>
        <item x="27"/>
        <item x="15"/>
        <item x="14"/>
        <item x="13"/>
        <item x="0"/>
        <item x="76"/>
        <item x="58"/>
        <item x="28"/>
        <item x="5"/>
        <item x="21"/>
        <item x="7"/>
        <item x="10"/>
        <item x="69"/>
        <item x="70"/>
        <item x="16"/>
        <item x="25"/>
        <item x="68"/>
        <item x="48"/>
        <item x="8"/>
        <item x="26"/>
        <item x="23"/>
        <item x="52"/>
        <item x="6"/>
        <item x="73"/>
        <item x="47"/>
        <item x="43"/>
        <item x="12"/>
        <item x="3"/>
        <item x="29"/>
        <item x="33"/>
        <item x="32"/>
        <item x="57"/>
        <item x="55"/>
        <item x="59"/>
        <item x="35"/>
        <item x="72"/>
        <item x="74"/>
        <item x="19"/>
        <item x="20"/>
        <item x="44"/>
        <item x="11"/>
        <item x="24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dataField="1" showAll="0"/>
    <pivotField dataField="1" numFmtId="4" showAll="0"/>
    <pivotField dataField="1" numFmtId="3" showAll="0"/>
    <pivotField dataField="1" numFmtId="3" showAll="0"/>
    <pivotField dataField="1" numFmtId="3" showAll="0"/>
  </pivotFields>
  <rowFields count="1">
    <field x="5"/>
  </rowFields>
  <rowItems count="78">
    <i>
      <x v="29"/>
    </i>
    <i>
      <x v="4"/>
    </i>
    <i>
      <x v="65"/>
    </i>
    <i>
      <x v="16"/>
    </i>
    <i>
      <x v="58"/>
    </i>
    <i>
      <x v="50"/>
    </i>
    <i>
      <x v="42"/>
    </i>
    <i>
      <x v="64"/>
    </i>
    <i>
      <x v="63"/>
    </i>
    <i>
      <x v="31"/>
    </i>
    <i>
      <x v="55"/>
    </i>
    <i>
      <x v="70"/>
    </i>
    <i>
      <x v="32"/>
    </i>
    <i>
      <x v="9"/>
    </i>
    <i>
      <x v="35"/>
    </i>
    <i>
      <x v="49"/>
    </i>
    <i>
      <x v="17"/>
    </i>
    <i>
      <x v="76"/>
    </i>
    <i>
      <x v="24"/>
    </i>
    <i>
      <x v="33"/>
    </i>
    <i>
      <x v="34"/>
    </i>
    <i>
      <x v="36"/>
    </i>
    <i>
      <x v="69"/>
    </i>
    <i>
      <x v="73"/>
    </i>
    <i>
      <x v="8"/>
    </i>
    <i>
      <x v="37"/>
    </i>
    <i>
      <x v="1"/>
    </i>
    <i>
      <x v="14"/>
    </i>
    <i>
      <x v="2"/>
    </i>
    <i>
      <x v="18"/>
    </i>
    <i>
      <x v="56"/>
    </i>
    <i>
      <x v="72"/>
    </i>
    <i>
      <x v="15"/>
    </i>
    <i>
      <x v="46"/>
    </i>
    <i>
      <x v="44"/>
    </i>
    <i>
      <x v="26"/>
    </i>
    <i>
      <x v="41"/>
    </i>
    <i>
      <x v="57"/>
    </i>
    <i>
      <x v="43"/>
    </i>
    <i>
      <x v="75"/>
    </i>
    <i>
      <x v="21"/>
    </i>
    <i>
      <x v="40"/>
    </i>
    <i>
      <x v="54"/>
    </i>
    <i>
      <x v="5"/>
    </i>
    <i>
      <x v="48"/>
    </i>
    <i>
      <x v="62"/>
    </i>
    <i>
      <x v="13"/>
    </i>
    <i>
      <x v="61"/>
    </i>
    <i>
      <x v="22"/>
    </i>
    <i>
      <x v="23"/>
    </i>
    <i>
      <x v="12"/>
    </i>
    <i>
      <x v="28"/>
    </i>
    <i>
      <x v="68"/>
    </i>
    <i>
      <x v="39"/>
    </i>
    <i>
      <x v="45"/>
    </i>
    <i>
      <x v="30"/>
    </i>
    <i>
      <x v="51"/>
    </i>
    <i>
      <x v="7"/>
    </i>
    <i>
      <x v="38"/>
    </i>
    <i>
      <x v="3"/>
    </i>
    <i>
      <x/>
    </i>
    <i>
      <x v="11"/>
    </i>
    <i>
      <x v="27"/>
    </i>
    <i>
      <x v="19"/>
    </i>
    <i>
      <x v="47"/>
    </i>
    <i>
      <x v="66"/>
    </i>
    <i>
      <x v="20"/>
    </i>
    <i>
      <x v="67"/>
    </i>
    <i>
      <x v="53"/>
    </i>
    <i>
      <x v="71"/>
    </i>
    <i>
      <x v="52"/>
    </i>
    <i>
      <x v="6"/>
    </i>
    <i>
      <x v="74"/>
    </i>
    <i>
      <x v="59"/>
    </i>
    <i>
      <x v="25"/>
    </i>
    <i>
      <x v="60"/>
    </i>
    <i>
      <x v="10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p25" fld="10" subtotal="average" baseField="5" baseItem="1"/>
    <dataField name="medián" fld="11" subtotal="average" baseField="5" baseItem="0"/>
    <dataField name="p75" fld="12" subtotal="average" baseField="5" baseItem="0"/>
    <dataField name="Celková suma [€ bez DPH]" fld="9" baseField="5" baseItem="0"/>
    <dataField name="Počet kusov" fld="8" baseField="5" baseItem="58"/>
    <dataField name="Počet pozorovaní" fld="5" subtotal="count" baseField="5" baseItem="58"/>
  </dataFields>
  <formats count="243">
    <format dxfId="242">
      <pivotArea outline="0" collapsedLevelsAreSubtotals="1" fieldPosition="0"/>
    </format>
    <format dxfId="24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40">
      <pivotArea outline="0" collapsedLevelsAreSubtotals="1" fieldPosition="0"/>
    </format>
    <format dxfId="23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38">
      <pivotArea type="all" dataOnly="0" outline="0" fieldPosition="0"/>
    </format>
    <format dxfId="237">
      <pivotArea outline="0" collapsedLevelsAreSubtotals="1" fieldPosition="0"/>
    </format>
    <format dxfId="236">
      <pivotArea field="5" type="button" dataOnly="0" labelOnly="1" outline="0" axis="axisRow" fieldPosition="0"/>
    </format>
    <format dxfId="235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34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33">
      <pivotArea dataOnly="0" labelOnly="1" grandRow="1" outline="0" fieldPosition="0"/>
    </format>
    <format dxfId="23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31">
      <pivotArea type="all" dataOnly="0" outline="0" fieldPosition="0"/>
    </format>
    <format dxfId="230">
      <pivotArea outline="0" collapsedLevelsAreSubtotals="1" fieldPosition="0"/>
    </format>
    <format dxfId="229">
      <pivotArea field="5" type="button" dataOnly="0" labelOnly="1" outline="0" axis="axisRow" fieldPosition="0"/>
    </format>
    <format dxfId="228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27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26">
      <pivotArea dataOnly="0" labelOnly="1" grandRow="1" outline="0" fieldPosition="0"/>
    </format>
    <format dxfId="22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24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23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22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21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20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19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18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17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16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15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14">
      <pivotArea dataOnly="0" labelOnly="1" fieldPosition="0">
        <references count="1">
          <reference field="5" count="50">
            <x v="1"/>
            <x v="2"/>
            <x v="4"/>
            <x v="5"/>
            <x v="8"/>
            <x v="9"/>
            <x v="13"/>
            <x v="14"/>
            <x v="15"/>
            <x v="16"/>
            <x v="17"/>
            <x v="18"/>
            <x v="20"/>
            <x v="21"/>
            <x v="24"/>
            <x v="26"/>
            <x v="28"/>
            <x v="29"/>
            <x v="31"/>
            <x v="32"/>
            <x v="33"/>
            <x v="34"/>
            <x v="35"/>
            <x v="36"/>
            <x v="37"/>
            <x v="40"/>
            <x v="41"/>
            <x v="42"/>
            <x v="43"/>
            <x v="44"/>
            <x v="46"/>
            <x v="48"/>
            <x v="49"/>
            <x v="50"/>
            <x v="54"/>
            <x v="55"/>
            <x v="56"/>
            <x v="57"/>
            <x v="58"/>
            <x v="61"/>
            <x v="62"/>
            <x v="63"/>
            <x v="64"/>
            <x v="65"/>
            <x v="69"/>
            <x v="70"/>
            <x v="72"/>
            <x v="73"/>
            <x v="75"/>
            <x v="76"/>
          </reference>
        </references>
      </pivotArea>
    </format>
    <format dxfId="213">
      <pivotArea dataOnly="0" labelOnly="1" fieldPosition="0">
        <references count="1">
          <reference field="5" count="27">
            <x v="0"/>
            <x v="3"/>
            <x v="6"/>
            <x v="7"/>
            <x v="10"/>
            <x v="11"/>
            <x v="12"/>
            <x v="19"/>
            <x v="22"/>
            <x v="23"/>
            <x v="25"/>
            <x v="27"/>
            <x v="30"/>
            <x v="38"/>
            <x v="39"/>
            <x v="45"/>
            <x v="47"/>
            <x v="51"/>
            <x v="52"/>
            <x v="53"/>
            <x v="59"/>
            <x v="60"/>
            <x v="66"/>
            <x v="67"/>
            <x v="68"/>
            <x v="71"/>
            <x v="74"/>
          </reference>
        </references>
      </pivotArea>
    </format>
    <format dxfId="212">
      <pivotArea field="5" type="button" dataOnly="0" labelOnly="1" outline="0" axis="axisRow" fieldPosition="0"/>
    </format>
    <format dxfId="21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10">
      <pivotArea field="5" type="button" dataOnly="0" labelOnly="1" outline="0" axis="axisRow" fieldPosition="0"/>
    </format>
    <format dxfId="20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208">
      <pivotArea collapsedLevelsAreSubtotals="1" fieldPosition="0">
        <references count="1">
          <reference field="5" count="1">
            <x v="10"/>
          </reference>
        </references>
      </pivotArea>
    </format>
    <format dxfId="207">
      <pivotArea dataOnly="0" labelOnly="1" fieldPosition="0">
        <references count="1">
          <reference field="5" count="1">
            <x v="10"/>
          </reference>
        </references>
      </pivotArea>
    </format>
    <format dxfId="206">
      <pivotArea grandRow="1" outline="0" collapsedLevelsAreSubtotals="1" fieldPosition="0"/>
    </format>
    <format dxfId="205">
      <pivotArea dataOnly="0" labelOnly="1" grandRow="1" outline="0" fieldPosition="0"/>
    </format>
    <format dxfId="204">
      <pivotArea dataOnly="0" labelOnly="1" fieldPosition="0">
        <references count="1">
          <reference field="5" count="8">
            <x v="4"/>
            <x v="16"/>
            <x v="29"/>
            <x v="32"/>
            <x v="42"/>
            <x v="55"/>
            <x v="64"/>
            <x v="65"/>
          </reference>
        </references>
      </pivotArea>
    </format>
    <format dxfId="203">
      <pivotArea field="5" type="button" dataOnly="0" labelOnly="1" outline="0" axis="axisRow" fieldPosition="0"/>
    </format>
    <format dxfId="202">
      <pivotArea dataOnly="0" labelOnly="1" fieldPosition="0">
        <references count="1">
          <reference field="5" count="20">
            <x v="1"/>
            <x v="8"/>
            <x v="9"/>
            <x v="17"/>
            <x v="24"/>
            <x v="31"/>
            <x v="33"/>
            <x v="34"/>
            <x v="35"/>
            <x v="36"/>
            <x v="37"/>
            <x v="43"/>
            <x v="49"/>
            <x v="50"/>
            <x v="58"/>
            <x v="63"/>
            <x v="69"/>
            <x v="70"/>
            <x v="75"/>
            <x v="76"/>
          </reference>
        </references>
      </pivotArea>
    </format>
    <format dxfId="201">
      <pivotArea dataOnly="0" labelOnly="1" fieldPosition="0">
        <references count="1">
          <reference field="5" count="7">
            <x v="2"/>
            <x v="14"/>
            <x v="18"/>
            <x v="46"/>
            <x v="56"/>
            <x v="72"/>
            <x v="73"/>
          </reference>
        </references>
      </pivotArea>
    </format>
    <format dxfId="200">
      <pivotArea dataOnly="0" labelOnly="1" fieldPosition="0">
        <references count="1">
          <reference field="5" count="26">
            <x v="0"/>
            <x v="5"/>
            <x v="7"/>
            <x v="12"/>
            <x v="13"/>
            <x v="15"/>
            <x v="20"/>
            <x v="21"/>
            <x v="22"/>
            <x v="23"/>
            <x v="26"/>
            <x v="28"/>
            <x v="30"/>
            <x v="38"/>
            <x v="39"/>
            <x v="40"/>
            <x v="41"/>
            <x v="44"/>
            <x v="45"/>
            <x v="48"/>
            <x v="51"/>
            <x v="54"/>
            <x v="57"/>
            <x v="61"/>
            <x v="62"/>
            <x v="68"/>
          </reference>
        </references>
      </pivotArea>
    </format>
    <format dxfId="199">
      <pivotArea dataOnly="0" labelOnly="1" fieldPosition="0">
        <references count="1">
          <reference field="5" count="16">
            <x v="3"/>
            <x v="6"/>
            <x v="10"/>
            <x v="11"/>
            <x v="19"/>
            <x v="25"/>
            <x v="27"/>
            <x v="47"/>
            <x v="52"/>
            <x v="53"/>
            <x v="59"/>
            <x v="60"/>
            <x v="66"/>
            <x v="67"/>
            <x v="71"/>
            <x v="74"/>
          </reference>
        </references>
      </pivotArea>
    </format>
    <format dxfId="198">
      <pivotArea dataOnly="0" labelOnly="1" grandRow="1" outline="0" fieldPosition="0"/>
    </format>
    <format dxfId="19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9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195">
      <pivotArea collapsedLevelsAreSubtotals="1" fieldPosition="0">
        <references count="1">
          <reference field="5" count="1">
            <x v="29"/>
          </reference>
        </references>
      </pivotArea>
    </format>
    <format dxfId="194">
      <pivotArea field="5" type="button" dataOnly="0" labelOnly="1" outline="0" axis="axisRow" fieldPosition="0"/>
    </format>
    <format dxfId="193">
      <pivotArea dataOnly="0" labelOnly="1" fieldPosition="0">
        <references count="1">
          <reference field="5" count="1">
            <x v="29"/>
          </reference>
        </references>
      </pivotArea>
    </format>
    <format dxfId="19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91">
      <pivotArea collapsedLevelsAreSubtotals="1" fieldPosition="0">
        <references count="1">
          <reference field="5" count="2">
            <x v="16"/>
            <x v="65"/>
          </reference>
        </references>
      </pivotArea>
    </format>
    <format dxfId="190">
      <pivotArea dataOnly="0" labelOnly="1" fieldPosition="0">
        <references count="1">
          <reference field="5" count="2">
            <x v="16"/>
            <x v="65"/>
          </reference>
        </references>
      </pivotArea>
    </format>
    <format dxfId="189">
      <pivotArea collapsedLevelsAreSubtotals="1" fieldPosition="0">
        <references count="1">
          <reference field="5" count="2">
            <x v="31"/>
            <x v="55"/>
          </reference>
        </references>
      </pivotArea>
    </format>
    <format dxfId="188">
      <pivotArea dataOnly="0" labelOnly="1" fieldPosition="0">
        <references count="1">
          <reference field="5" count="2">
            <x v="31"/>
            <x v="55"/>
          </reference>
        </references>
      </pivotArea>
    </format>
    <format dxfId="187">
      <pivotArea collapsedLevelsAreSubtotals="1" fieldPosition="0">
        <references count="1">
          <reference field="5" count="1">
            <x v="49"/>
          </reference>
        </references>
      </pivotArea>
    </format>
    <format dxfId="186">
      <pivotArea dataOnly="0" labelOnly="1" fieldPosition="0">
        <references count="1">
          <reference field="5" count="1">
            <x v="49"/>
          </reference>
        </references>
      </pivotArea>
    </format>
    <format dxfId="185">
      <pivotArea collapsedLevelsAreSubtotals="1" fieldPosition="0">
        <references count="1">
          <reference field="5" count="1">
            <x v="36"/>
          </reference>
        </references>
      </pivotArea>
    </format>
    <format dxfId="184">
      <pivotArea dataOnly="0" labelOnly="1" fieldPosition="0">
        <references count="1">
          <reference field="5" count="1">
            <x v="36"/>
          </reference>
        </references>
      </pivotArea>
    </format>
    <format dxfId="183">
      <pivotArea collapsedLevelsAreSubtotals="1" fieldPosition="0">
        <references count="1">
          <reference field="5" count="3">
            <x v="8"/>
            <x v="37"/>
            <x v="73"/>
          </reference>
        </references>
      </pivotArea>
    </format>
    <format dxfId="182">
      <pivotArea dataOnly="0" labelOnly="1" fieldPosition="0">
        <references count="1">
          <reference field="5" count="3">
            <x v="8"/>
            <x v="37"/>
            <x v="73"/>
          </reference>
        </references>
      </pivotArea>
    </format>
    <format dxfId="181">
      <pivotArea collapsedLevelsAreSubtotals="1" fieldPosition="0">
        <references count="1">
          <reference field="5" count="1">
            <x v="18"/>
          </reference>
        </references>
      </pivotArea>
    </format>
    <format dxfId="180">
      <pivotArea dataOnly="0" labelOnly="1" fieldPosition="0">
        <references count="1">
          <reference field="5" count="1">
            <x v="18"/>
          </reference>
        </references>
      </pivotArea>
    </format>
    <format dxfId="179">
      <pivotArea collapsedLevelsAreSubtotals="1" fieldPosition="0">
        <references count="1">
          <reference field="5" count="1">
            <x v="72"/>
          </reference>
        </references>
      </pivotArea>
    </format>
    <format dxfId="178">
      <pivotArea dataOnly="0" labelOnly="1" fieldPosition="0">
        <references count="1">
          <reference field="5" count="1">
            <x v="72"/>
          </reference>
        </references>
      </pivotArea>
    </format>
    <format dxfId="177">
      <pivotArea collapsedLevelsAreSubtotals="1" fieldPosition="0">
        <references count="1">
          <reference field="5" count="3">
            <x v="26"/>
            <x v="44"/>
            <x v="46"/>
          </reference>
        </references>
      </pivotArea>
    </format>
    <format dxfId="176">
      <pivotArea dataOnly="0" labelOnly="1" fieldPosition="0">
        <references count="1">
          <reference field="5" count="3">
            <x v="26"/>
            <x v="44"/>
            <x v="46"/>
          </reference>
        </references>
      </pivotArea>
    </format>
    <format dxfId="175">
      <pivotArea collapsedLevelsAreSubtotals="1" fieldPosition="0">
        <references count="1">
          <reference field="5" count="3">
            <x v="43"/>
            <x v="57"/>
            <x v="75"/>
          </reference>
        </references>
      </pivotArea>
    </format>
    <format dxfId="174">
      <pivotArea dataOnly="0" labelOnly="1" fieldPosition="0">
        <references count="1">
          <reference field="5" count="3">
            <x v="43"/>
            <x v="57"/>
            <x v="75"/>
          </reference>
        </references>
      </pivotArea>
    </format>
    <format dxfId="173">
      <pivotArea collapsedLevelsAreSubtotals="1" fieldPosition="0">
        <references count="1">
          <reference field="5" count="1">
            <x v="62"/>
          </reference>
        </references>
      </pivotArea>
    </format>
    <format dxfId="172">
      <pivotArea dataOnly="0" labelOnly="1" fieldPosition="0">
        <references count="1">
          <reference field="5" count="1">
            <x v="62"/>
          </reference>
        </references>
      </pivotArea>
    </format>
    <format dxfId="171">
      <pivotArea collapsedLevelsAreSubtotals="1" fieldPosition="0">
        <references count="1">
          <reference field="5" count="1">
            <x v="61"/>
          </reference>
        </references>
      </pivotArea>
    </format>
    <format dxfId="170">
      <pivotArea dataOnly="0" labelOnly="1" fieldPosition="0">
        <references count="1">
          <reference field="5" count="1">
            <x v="61"/>
          </reference>
        </references>
      </pivotArea>
    </format>
    <format dxfId="169">
      <pivotArea collapsedLevelsAreSubtotals="1" fieldPosition="0">
        <references count="1">
          <reference field="5" count="1">
            <x v="28"/>
          </reference>
        </references>
      </pivotArea>
    </format>
    <format dxfId="168">
      <pivotArea dataOnly="0" labelOnly="1" fieldPosition="0">
        <references count="1">
          <reference field="5" count="1">
            <x v="28"/>
          </reference>
        </references>
      </pivotArea>
    </format>
    <format dxfId="167">
      <pivotArea collapsedLevelsAreSubtotals="1" fieldPosition="0">
        <references count="1">
          <reference field="5" count="3">
            <x v="30"/>
            <x v="39"/>
            <x v="45"/>
          </reference>
        </references>
      </pivotArea>
    </format>
    <format dxfId="166">
      <pivotArea dataOnly="0" labelOnly="1" fieldPosition="0">
        <references count="1">
          <reference field="5" count="3">
            <x v="30"/>
            <x v="39"/>
            <x v="45"/>
          </reference>
        </references>
      </pivotArea>
    </format>
    <format dxfId="165">
      <pivotArea collapsedLevelsAreSubtotals="1" fieldPosition="0">
        <references count="1">
          <reference field="5" count="1">
            <x v="38"/>
          </reference>
        </references>
      </pivotArea>
    </format>
    <format dxfId="164">
      <pivotArea dataOnly="0" labelOnly="1" fieldPosition="0">
        <references count="1">
          <reference field="5" count="1">
            <x v="38"/>
          </reference>
        </references>
      </pivotArea>
    </format>
    <format dxfId="163">
      <pivotArea collapsedLevelsAreSubtotals="1" fieldPosition="0">
        <references count="1">
          <reference field="5" count="1">
            <x v="19"/>
          </reference>
        </references>
      </pivotArea>
    </format>
    <format dxfId="162">
      <pivotArea dataOnly="0" labelOnly="1" fieldPosition="0">
        <references count="1">
          <reference field="5" count="1">
            <x v="19"/>
          </reference>
        </references>
      </pivotArea>
    </format>
    <format dxfId="161">
      <pivotArea collapsedLevelsAreSubtotals="1" fieldPosition="0">
        <references count="1">
          <reference field="5" count="1">
            <x v="53"/>
          </reference>
        </references>
      </pivotArea>
    </format>
    <format dxfId="160">
      <pivotArea dataOnly="0" labelOnly="1" fieldPosition="0">
        <references count="1">
          <reference field="5" count="1">
            <x v="53"/>
          </reference>
        </references>
      </pivotArea>
    </format>
    <format dxfId="159">
      <pivotArea collapsedLevelsAreSubtotals="1" fieldPosition="0">
        <references count="1">
          <reference field="5" count="1">
            <x v="6"/>
          </reference>
        </references>
      </pivotArea>
    </format>
    <format dxfId="158">
      <pivotArea dataOnly="0" labelOnly="1" fieldPosition="0">
        <references count="1">
          <reference field="5" count="1">
            <x v="6"/>
          </reference>
        </references>
      </pivotArea>
    </format>
    <format dxfId="157">
      <pivotArea collapsedLevelsAreSubtotals="1" fieldPosition="0">
        <references count="1">
          <reference field="5" count="1">
            <x v="59"/>
          </reference>
        </references>
      </pivotArea>
    </format>
    <format dxfId="156">
      <pivotArea dataOnly="0" labelOnly="1" fieldPosition="0">
        <references count="1">
          <reference field="5" count="1">
            <x v="59"/>
          </reference>
        </references>
      </pivotArea>
    </format>
    <format dxfId="155">
      <pivotArea grandRow="1" outline="0" collapsedLevelsAreSubtotals="1" fieldPosition="0"/>
    </format>
    <format dxfId="154">
      <pivotArea dataOnly="0" labelOnly="1" grandRow="1" outline="0" fieldPosition="0"/>
    </format>
    <format dxfId="153">
      <pivotArea collapsedLevelsAreSubtotals="1" fieldPosition="0">
        <references count="1">
          <reference field="5" count="1">
            <x v="29"/>
          </reference>
        </references>
      </pivotArea>
    </format>
    <format dxfId="152">
      <pivotArea field="5" type="button" dataOnly="0" labelOnly="1" outline="0" axis="axisRow" fieldPosition="0"/>
    </format>
    <format dxfId="151">
      <pivotArea dataOnly="0" labelOnly="1" fieldPosition="0">
        <references count="1">
          <reference field="5" count="1">
            <x v="29"/>
          </reference>
        </references>
      </pivotArea>
    </format>
    <format dxfId="15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9">
      <pivotArea collapsedLevelsAreSubtotals="1" fieldPosition="0">
        <references count="1">
          <reference field="5" count="2">
            <x v="16"/>
            <x v="65"/>
          </reference>
        </references>
      </pivotArea>
    </format>
    <format dxfId="148">
      <pivotArea dataOnly="0" labelOnly="1" fieldPosition="0">
        <references count="1">
          <reference field="5" count="2">
            <x v="16"/>
            <x v="65"/>
          </reference>
        </references>
      </pivotArea>
    </format>
    <format dxfId="147">
      <pivotArea collapsedLevelsAreSubtotals="1" fieldPosition="0">
        <references count="1">
          <reference field="5" count="2">
            <x v="31"/>
            <x v="55"/>
          </reference>
        </references>
      </pivotArea>
    </format>
    <format dxfId="146">
      <pivotArea dataOnly="0" labelOnly="1" fieldPosition="0">
        <references count="1">
          <reference field="5" count="2">
            <x v="31"/>
            <x v="55"/>
          </reference>
        </references>
      </pivotArea>
    </format>
    <format dxfId="145">
      <pivotArea collapsedLevelsAreSubtotals="1" fieldPosition="0">
        <references count="1">
          <reference field="5" count="1">
            <x v="49"/>
          </reference>
        </references>
      </pivotArea>
    </format>
    <format dxfId="144">
      <pivotArea dataOnly="0" labelOnly="1" fieldPosition="0">
        <references count="1">
          <reference field="5" count="1">
            <x v="49"/>
          </reference>
        </references>
      </pivotArea>
    </format>
    <format dxfId="143">
      <pivotArea collapsedLevelsAreSubtotals="1" fieldPosition="0">
        <references count="1">
          <reference field="5" count="1">
            <x v="36"/>
          </reference>
        </references>
      </pivotArea>
    </format>
    <format dxfId="142">
      <pivotArea dataOnly="0" labelOnly="1" fieldPosition="0">
        <references count="1">
          <reference field="5" count="1">
            <x v="36"/>
          </reference>
        </references>
      </pivotArea>
    </format>
    <format dxfId="141">
      <pivotArea collapsedLevelsAreSubtotals="1" fieldPosition="0">
        <references count="1">
          <reference field="5" count="3">
            <x v="8"/>
            <x v="37"/>
            <x v="73"/>
          </reference>
        </references>
      </pivotArea>
    </format>
    <format dxfId="140">
      <pivotArea dataOnly="0" labelOnly="1" fieldPosition="0">
        <references count="1">
          <reference field="5" count="3">
            <x v="8"/>
            <x v="37"/>
            <x v="73"/>
          </reference>
        </references>
      </pivotArea>
    </format>
    <format dxfId="139">
      <pivotArea collapsedLevelsAreSubtotals="1" fieldPosition="0">
        <references count="1">
          <reference field="5" count="1">
            <x v="18"/>
          </reference>
        </references>
      </pivotArea>
    </format>
    <format dxfId="138">
      <pivotArea dataOnly="0" labelOnly="1" fieldPosition="0">
        <references count="1">
          <reference field="5" count="1">
            <x v="18"/>
          </reference>
        </references>
      </pivotArea>
    </format>
    <format dxfId="137">
      <pivotArea collapsedLevelsAreSubtotals="1" fieldPosition="0">
        <references count="1">
          <reference field="5" count="1">
            <x v="72"/>
          </reference>
        </references>
      </pivotArea>
    </format>
    <format dxfId="136">
      <pivotArea dataOnly="0" labelOnly="1" fieldPosition="0">
        <references count="1">
          <reference field="5" count="1">
            <x v="72"/>
          </reference>
        </references>
      </pivotArea>
    </format>
    <format dxfId="135">
      <pivotArea collapsedLevelsAreSubtotals="1" fieldPosition="0">
        <references count="1">
          <reference field="5" count="3">
            <x v="26"/>
            <x v="44"/>
            <x v="46"/>
          </reference>
        </references>
      </pivotArea>
    </format>
    <format dxfId="134">
      <pivotArea dataOnly="0" labelOnly="1" fieldPosition="0">
        <references count="1">
          <reference field="5" count="3">
            <x v="26"/>
            <x v="44"/>
            <x v="46"/>
          </reference>
        </references>
      </pivotArea>
    </format>
    <format dxfId="133">
      <pivotArea collapsedLevelsAreSubtotals="1" fieldPosition="0">
        <references count="1">
          <reference field="5" count="3">
            <x v="43"/>
            <x v="57"/>
            <x v="75"/>
          </reference>
        </references>
      </pivotArea>
    </format>
    <format dxfId="132">
      <pivotArea dataOnly="0" labelOnly="1" fieldPosition="0">
        <references count="1">
          <reference field="5" count="3">
            <x v="43"/>
            <x v="57"/>
            <x v="75"/>
          </reference>
        </references>
      </pivotArea>
    </format>
    <format dxfId="131">
      <pivotArea collapsedLevelsAreSubtotals="1" fieldPosition="0">
        <references count="1">
          <reference field="5" count="1">
            <x v="62"/>
          </reference>
        </references>
      </pivotArea>
    </format>
    <format dxfId="130">
      <pivotArea dataOnly="0" labelOnly="1" fieldPosition="0">
        <references count="1">
          <reference field="5" count="1">
            <x v="62"/>
          </reference>
        </references>
      </pivotArea>
    </format>
    <format dxfId="129">
      <pivotArea collapsedLevelsAreSubtotals="1" fieldPosition="0">
        <references count="1">
          <reference field="5" count="1">
            <x v="61"/>
          </reference>
        </references>
      </pivotArea>
    </format>
    <format dxfId="128">
      <pivotArea dataOnly="0" labelOnly="1" fieldPosition="0">
        <references count="1">
          <reference field="5" count="1">
            <x v="61"/>
          </reference>
        </references>
      </pivotArea>
    </format>
    <format dxfId="127">
      <pivotArea collapsedLevelsAreSubtotals="1" fieldPosition="0">
        <references count="1">
          <reference field="5" count="1">
            <x v="28"/>
          </reference>
        </references>
      </pivotArea>
    </format>
    <format dxfId="126">
      <pivotArea dataOnly="0" labelOnly="1" fieldPosition="0">
        <references count="1">
          <reference field="5" count="1">
            <x v="28"/>
          </reference>
        </references>
      </pivotArea>
    </format>
    <format dxfId="125">
      <pivotArea collapsedLevelsAreSubtotals="1" fieldPosition="0">
        <references count="1">
          <reference field="5" count="3">
            <x v="30"/>
            <x v="39"/>
            <x v="45"/>
          </reference>
        </references>
      </pivotArea>
    </format>
    <format dxfId="124">
      <pivotArea dataOnly="0" labelOnly="1" fieldPosition="0">
        <references count="1">
          <reference field="5" count="3">
            <x v="30"/>
            <x v="39"/>
            <x v="45"/>
          </reference>
        </references>
      </pivotArea>
    </format>
    <format dxfId="123">
      <pivotArea collapsedLevelsAreSubtotals="1" fieldPosition="0">
        <references count="1">
          <reference field="5" count="1">
            <x v="38"/>
          </reference>
        </references>
      </pivotArea>
    </format>
    <format dxfId="122">
      <pivotArea dataOnly="0" labelOnly="1" fieldPosition="0">
        <references count="1">
          <reference field="5" count="1">
            <x v="38"/>
          </reference>
        </references>
      </pivotArea>
    </format>
    <format dxfId="121">
      <pivotArea collapsedLevelsAreSubtotals="1" fieldPosition="0">
        <references count="1">
          <reference field="5" count="1">
            <x v="19"/>
          </reference>
        </references>
      </pivotArea>
    </format>
    <format dxfId="120">
      <pivotArea dataOnly="0" labelOnly="1" fieldPosition="0">
        <references count="1">
          <reference field="5" count="1">
            <x v="19"/>
          </reference>
        </references>
      </pivotArea>
    </format>
    <format dxfId="119">
      <pivotArea collapsedLevelsAreSubtotals="1" fieldPosition="0">
        <references count="1">
          <reference field="5" count="1">
            <x v="53"/>
          </reference>
        </references>
      </pivotArea>
    </format>
    <format dxfId="118">
      <pivotArea dataOnly="0" labelOnly="1" fieldPosition="0">
        <references count="1">
          <reference field="5" count="1">
            <x v="53"/>
          </reference>
        </references>
      </pivotArea>
    </format>
    <format dxfId="117">
      <pivotArea collapsedLevelsAreSubtotals="1" fieldPosition="0">
        <references count="1">
          <reference field="5" count="1">
            <x v="6"/>
          </reference>
        </references>
      </pivotArea>
    </format>
    <format dxfId="116">
      <pivotArea dataOnly="0" labelOnly="1" fieldPosition="0">
        <references count="1">
          <reference field="5" count="1">
            <x v="6"/>
          </reference>
        </references>
      </pivotArea>
    </format>
    <format dxfId="115">
      <pivotArea collapsedLevelsAreSubtotals="1" fieldPosition="0">
        <references count="1">
          <reference field="5" count="1">
            <x v="59"/>
          </reference>
        </references>
      </pivotArea>
    </format>
    <format dxfId="114">
      <pivotArea dataOnly="0" labelOnly="1" fieldPosition="0">
        <references count="1">
          <reference field="5" count="1">
            <x v="59"/>
          </reference>
        </references>
      </pivotArea>
    </format>
    <format dxfId="113">
      <pivotArea grandRow="1" outline="0" collapsedLevelsAreSubtotals="1" fieldPosition="0"/>
    </format>
    <format dxfId="112">
      <pivotArea dataOnly="0" labelOnly="1" grandRow="1" outline="0" fieldPosition="0"/>
    </format>
    <format dxfId="111">
      <pivotArea collapsedLevelsAreSubtotals="1" fieldPosition="0">
        <references count="1">
          <reference field="5" count="1">
            <x v="29"/>
          </reference>
        </references>
      </pivotArea>
    </format>
    <format dxfId="110">
      <pivotArea field="5" type="button" dataOnly="0" labelOnly="1" outline="0" axis="axisRow" fieldPosition="0"/>
    </format>
    <format dxfId="109">
      <pivotArea dataOnly="0" labelOnly="1" fieldPosition="0">
        <references count="1">
          <reference field="5" count="1">
            <x v="29"/>
          </reference>
        </references>
      </pivotArea>
    </format>
    <format dxfId="10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07">
      <pivotArea collapsedLevelsAreSubtotals="1" fieldPosition="0">
        <references count="1">
          <reference field="5" count="2">
            <x v="16"/>
            <x v="65"/>
          </reference>
        </references>
      </pivotArea>
    </format>
    <format dxfId="106">
      <pivotArea dataOnly="0" labelOnly="1" fieldPosition="0">
        <references count="1">
          <reference field="5" count="2">
            <x v="16"/>
            <x v="65"/>
          </reference>
        </references>
      </pivotArea>
    </format>
    <format dxfId="105">
      <pivotArea collapsedLevelsAreSubtotals="1" fieldPosition="0">
        <references count="1">
          <reference field="5" count="2">
            <x v="31"/>
            <x v="55"/>
          </reference>
        </references>
      </pivotArea>
    </format>
    <format dxfId="104">
      <pivotArea dataOnly="0" labelOnly="1" fieldPosition="0">
        <references count="1">
          <reference field="5" count="2">
            <x v="31"/>
            <x v="55"/>
          </reference>
        </references>
      </pivotArea>
    </format>
    <format dxfId="103">
      <pivotArea collapsedLevelsAreSubtotals="1" fieldPosition="0">
        <references count="1">
          <reference field="5" count="1">
            <x v="49"/>
          </reference>
        </references>
      </pivotArea>
    </format>
    <format dxfId="102">
      <pivotArea dataOnly="0" labelOnly="1" fieldPosition="0">
        <references count="1">
          <reference field="5" count="1">
            <x v="49"/>
          </reference>
        </references>
      </pivotArea>
    </format>
    <format dxfId="101">
      <pivotArea collapsedLevelsAreSubtotals="1" fieldPosition="0">
        <references count="1">
          <reference field="5" count="1">
            <x v="36"/>
          </reference>
        </references>
      </pivotArea>
    </format>
    <format dxfId="100">
      <pivotArea dataOnly="0" labelOnly="1" fieldPosition="0">
        <references count="1">
          <reference field="5" count="1">
            <x v="36"/>
          </reference>
        </references>
      </pivotArea>
    </format>
    <format dxfId="99">
      <pivotArea collapsedLevelsAreSubtotals="1" fieldPosition="0">
        <references count="1">
          <reference field="5" count="3">
            <x v="8"/>
            <x v="37"/>
            <x v="73"/>
          </reference>
        </references>
      </pivotArea>
    </format>
    <format dxfId="98">
      <pivotArea dataOnly="0" labelOnly="1" fieldPosition="0">
        <references count="1">
          <reference field="5" count="3">
            <x v="8"/>
            <x v="37"/>
            <x v="73"/>
          </reference>
        </references>
      </pivotArea>
    </format>
    <format dxfId="97">
      <pivotArea collapsedLevelsAreSubtotals="1" fieldPosition="0">
        <references count="1">
          <reference field="5" count="1">
            <x v="18"/>
          </reference>
        </references>
      </pivotArea>
    </format>
    <format dxfId="96">
      <pivotArea dataOnly="0" labelOnly="1" fieldPosition="0">
        <references count="1">
          <reference field="5" count="1">
            <x v="18"/>
          </reference>
        </references>
      </pivotArea>
    </format>
    <format dxfId="95">
      <pivotArea collapsedLevelsAreSubtotals="1" fieldPosition="0">
        <references count="1">
          <reference field="5" count="1">
            <x v="72"/>
          </reference>
        </references>
      </pivotArea>
    </format>
    <format dxfId="94">
      <pivotArea dataOnly="0" labelOnly="1" fieldPosition="0">
        <references count="1">
          <reference field="5" count="1">
            <x v="72"/>
          </reference>
        </references>
      </pivotArea>
    </format>
    <format dxfId="93">
      <pivotArea collapsedLevelsAreSubtotals="1" fieldPosition="0">
        <references count="1">
          <reference field="5" count="3">
            <x v="26"/>
            <x v="44"/>
            <x v="46"/>
          </reference>
        </references>
      </pivotArea>
    </format>
    <format dxfId="92">
      <pivotArea dataOnly="0" labelOnly="1" fieldPosition="0">
        <references count="1">
          <reference field="5" count="3">
            <x v="26"/>
            <x v="44"/>
            <x v="46"/>
          </reference>
        </references>
      </pivotArea>
    </format>
    <format dxfId="91">
      <pivotArea collapsedLevelsAreSubtotals="1" fieldPosition="0">
        <references count="1">
          <reference field="5" count="3">
            <x v="43"/>
            <x v="57"/>
            <x v="75"/>
          </reference>
        </references>
      </pivotArea>
    </format>
    <format dxfId="90">
      <pivotArea dataOnly="0" labelOnly="1" fieldPosition="0">
        <references count="1">
          <reference field="5" count="3">
            <x v="43"/>
            <x v="57"/>
            <x v="75"/>
          </reference>
        </references>
      </pivotArea>
    </format>
    <format dxfId="89">
      <pivotArea collapsedLevelsAreSubtotals="1" fieldPosition="0">
        <references count="1">
          <reference field="5" count="1">
            <x v="62"/>
          </reference>
        </references>
      </pivotArea>
    </format>
    <format dxfId="88">
      <pivotArea dataOnly="0" labelOnly="1" fieldPosition="0">
        <references count="1">
          <reference field="5" count="1">
            <x v="62"/>
          </reference>
        </references>
      </pivotArea>
    </format>
    <format dxfId="87">
      <pivotArea collapsedLevelsAreSubtotals="1" fieldPosition="0">
        <references count="1">
          <reference field="5" count="1">
            <x v="61"/>
          </reference>
        </references>
      </pivotArea>
    </format>
    <format dxfId="86">
      <pivotArea dataOnly="0" labelOnly="1" fieldPosition="0">
        <references count="1">
          <reference field="5" count="1">
            <x v="61"/>
          </reference>
        </references>
      </pivotArea>
    </format>
    <format dxfId="85">
      <pivotArea collapsedLevelsAreSubtotals="1" fieldPosition="0">
        <references count="1">
          <reference field="5" count="1">
            <x v="28"/>
          </reference>
        </references>
      </pivotArea>
    </format>
    <format dxfId="84">
      <pivotArea dataOnly="0" labelOnly="1" fieldPosition="0">
        <references count="1">
          <reference field="5" count="1">
            <x v="28"/>
          </reference>
        </references>
      </pivotArea>
    </format>
    <format dxfId="83">
      <pivotArea collapsedLevelsAreSubtotals="1" fieldPosition="0">
        <references count="1">
          <reference field="5" count="3">
            <x v="30"/>
            <x v="39"/>
            <x v="45"/>
          </reference>
        </references>
      </pivotArea>
    </format>
    <format dxfId="82">
      <pivotArea dataOnly="0" labelOnly="1" fieldPosition="0">
        <references count="1">
          <reference field="5" count="3">
            <x v="30"/>
            <x v="39"/>
            <x v="45"/>
          </reference>
        </references>
      </pivotArea>
    </format>
    <format dxfId="81">
      <pivotArea collapsedLevelsAreSubtotals="1" fieldPosition="0">
        <references count="1">
          <reference field="5" count="1">
            <x v="38"/>
          </reference>
        </references>
      </pivotArea>
    </format>
    <format dxfId="80">
      <pivotArea dataOnly="0" labelOnly="1" fieldPosition="0">
        <references count="1">
          <reference field="5" count="1">
            <x v="38"/>
          </reference>
        </references>
      </pivotArea>
    </format>
    <format dxfId="79">
      <pivotArea collapsedLevelsAreSubtotals="1" fieldPosition="0">
        <references count="1">
          <reference field="5" count="1">
            <x v="19"/>
          </reference>
        </references>
      </pivotArea>
    </format>
    <format dxfId="78">
      <pivotArea dataOnly="0" labelOnly="1" fieldPosition="0">
        <references count="1">
          <reference field="5" count="1">
            <x v="19"/>
          </reference>
        </references>
      </pivotArea>
    </format>
    <format dxfId="77">
      <pivotArea collapsedLevelsAreSubtotals="1" fieldPosition="0">
        <references count="1">
          <reference field="5" count="1">
            <x v="53"/>
          </reference>
        </references>
      </pivotArea>
    </format>
    <format dxfId="76">
      <pivotArea dataOnly="0" labelOnly="1" fieldPosition="0">
        <references count="1">
          <reference field="5" count="1">
            <x v="53"/>
          </reference>
        </references>
      </pivotArea>
    </format>
    <format dxfId="75">
      <pivotArea collapsedLevelsAreSubtotals="1" fieldPosition="0">
        <references count="1">
          <reference field="5" count="1">
            <x v="6"/>
          </reference>
        </references>
      </pivotArea>
    </format>
    <format dxfId="74">
      <pivotArea dataOnly="0" labelOnly="1" fieldPosition="0">
        <references count="1">
          <reference field="5" count="1">
            <x v="6"/>
          </reference>
        </references>
      </pivotArea>
    </format>
    <format dxfId="73">
      <pivotArea collapsedLevelsAreSubtotals="1" fieldPosition="0">
        <references count="1">
          <reference field="5" count="1">
            <x v="59"/>
          </reference>
        </references>
      </pivotArea>
    </format>
    <format dxfId="72">
      <pivotArea dataOnly="0" labelOnly="1" fieldPosition="0">
        <references count="1">
          <reference field="5" count="1">
            <x v="59"/>
          </reference>
        </references>
      </pivotArea>
    </format>
    <format dxfId="71">
      <pivotArea grandRow="1" outline="0" collapsedLevelsAreSubtotals="1" fieldPosition="0"/>
    </format>
    <format dxfId="70">
      <pivotArea dataOnly="0" labelOnly="1" grandRow="1" outline="0" fieldPosition="0"/>
    </format>
    <format dxfId="69">
      <pivotArea field="5" type="button" dataOnly="0" labelOnly="1" outline="0" axis="axisRow" fieldPosition="0"/>
    </format>
    <format dxfId="6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67">
      <pivotArea collapsedLevelsAreSubtotals="1" fieldPosition="0">
        <references count="1">
          <reference field="5" count="1">
            <x v="59"/>
          </reference>
        </references>
      </pivotArea>
    </format>
    <format dxfId="66">
      <pivotArea dataOnly="0" labelOnly="1" fieldPosition="0">
        <references count="1">
          <reference field="5" count="1">
            <x v="59"/>
          </reference>
        </references>
      </pivotArea>
    </format>
    <format dxfId="65">
      <pivotArea grandRow="1" outline="0" collapsedLevelsAreSubtotals="1" fieldPosition="0"/>
    </format>
    <format dxfId="64">
      <pivotArea dataOnly="0" labelOnly="1" grandRow="1" outline="0" fieldPosition="0"/>
    </format>
    <format dxfId="63">
      <pivotArea dataOnly="0" labelOnly="1" fieldPosition="0">
        <references count="1">
          <reference field="5" count="1">
            <x v="29"/>
          </reference>
        </references>
      </pivotArea>
    </format>
    <format dxfId="62">
      <pivotArea dataOnly="0" labelOnly="1" fieldPosition="0">
        <references count="1">
          <reference field="5" count="2">
            <x v="16"/>
            <x v="65"/>
          </reference>
        </references>
      </pivotArea>
    </format>
    <format dxfId="61">
      <pivotArea dataOnly="0" labelOnly="1" fieldPosition="0">
        <references count="1">
          <reference field="5" count="2">
            <x v="31"/>
            <x v="55"/>
          </reference>
        </references>
      </pivotArea>
    </format>
    <format dxfId="60">
      <pivotArea dataOnly="0" labelOnly="1" fieldPosition="0">
        <references count="1">
          <reference field="5" count="1">
            <x v="49"/>
          </reference>
        </references>
      </pivotArea>
    </format>
    <format dxfId="59">
      <pivotArea dataOnly="0" labelOnly="1" fieldPosition="0">
        <references count="1">
          <reference field="5" count="1">
            <x v="36"/>
          </reference>
        </references>
      </pivotArea>
    </format>
    <format dxfId="58">
      <pivotArea dataOnly="0" labelOnly="1" fieldPosition="0">
        <references count="1">
          <reference field="5" count="3">
            <x v="8"/>
            <x v="37"/>
            <x v="73"/>
          </reference>
        </references>
      </pivotArea>
    </format>
    <format dxfId="57">
      <pivotArea dataOnly="0" labelOnly="1" fieldPosition="0">
        <references count="1">
          <reference field="5" count="1">
            <x v="18"/>
          </reference>
        </references>
      </pivotArea>
    </format>
    <format dxfId="56">
      <pivotArea dataOnly="0" labelOnly="1" fieldPosition="0">
        <references count="1">
          <reference field="5" count="1">
            <x v="72"/>
          </reference>
        </references>
      </pivotArea>
    </format>
    <format dxfId="55">
      <pivotArea dataOnly="0" labelOnly="1" fieldPosition="0">
        <references count="1">
          <reference field="5" count="3">
            <x v="26"/>
            <x v="44"/>
            <x v="46"/>
          </reference>
        </references>
      </pivotArea>
    </format>
    <format dxfId="54">
      <pivotArea dataOnly="0" labelOnly="1" fieldPosition="0">
        <references count="1">
          <reference field="5" count="3">
            <x v="43"/>
            <x v="57"/>
            <x v="75"/>
          </reference>
        </references>
      </pivotArea>
    </format>
    <format dxfId="53">
      <pivotArea dataOnly="0" labelOnly="1" fieldPosition="0">
        <references count="1">
          <reference field="5" count="1">
            <x v="62"/>
          </reference>
        </references>
      </pivotArea>
    </format>
    <format dxfId="52">
      <pivotArea dataOnly="0" labelOnly="1" fieldPosition="0">
        <references count="1">
          <reference field="5" count="1">
            <x v="61"/>
          </reference>
        </references>
      </pivotArea>
    </format>
    <format dxfId="51">
      <pivotArea dataOnly="0" labelOnly="1" fieldPosition="0">
        <references count="1">
          <reference field="5" count="1">
            <x v="28"/>
          </reference>
        </references>
      </pivotArea>
    </format>
    <format dxfId="50">
      <pivotArea dataOnly="0" labelOnly="1" fieldPosition="0">
        <references count="1">
          <reference field="5" count="3">
            <x v="30"/>
            <x v="39"/>
            <x v="45"/>
          </reference>
        </references>
      </pivotArea>
    </format>
    <format dxfId="49">
      <pivotArea dataOnly="0" labelOnly="1" fieldPosition="0">
        <references count="1">
          <reference field="5" count="1">
            <x v="38"/>
          </reference>
        </references>
      </pivotArea>
    </format>
    <format dxfId="48">
      <pivotArea dataOnly="0" labelOnly="1" fieldPosition="0">
        <references count="1">
          <reference field="5" count="1">
            <x v="19"/>
          </reference>
        </references>
      </pivotArea>
    </format>
    <format dxfId="47">
      <pivotArea dataOnly="0" labelOnly="1" fieldPosition="0">
        <references count="1">
          <reference field="5" count="1">
            <x v="53"/>
          </reference>
        </references>
      </pivotArea>
    </format>
    <format dxfId="46">
      <pivotArea dataOnly="0" labelOnly="1" fieldPosition="0">
        <references count="1">
          <reference field="5" count="1">
            <x v="6"/>
          </reference>
        </references>
      </pivotArea>
    </format>
    <format dxfId="45">
      <pivotArea dataOnly="0" labelOnly="1" fieldPosition="0">
        <references count="1">
          <reference field="5" count="1">
            <x v="59"/>
          </reference>
        </references>
      </pivotArea>
    </format>
    <format dxfId="44">
      <pivotArea dataOnly="0" labelOnly="1" grandRow="1" outline="0" fieldPosition="0"/>
    </format>
    <format dxfId="43">
      <pivotArea field="5" type="button" dataOnly="0" labelOnly="1" outline="0" axis="axisRow" fieldPosition="0"/>
    </format>
    <format dxfId="42">
      <pivotArea collapsedLevelsAreSubtotals="1" fieldPosition="0">
        <references count="2">
          <reference field="4294967294" count="1" selected="0">
            <x v="5"/>
          </reference>
          <reference field="5" count="1">
            <x v="29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collapsedLevelsAreSubtotals="1" fieldPosition="0">
        <references count="2">
          <reference field="4294967294" count="1" selected="0">
            <x v="5"/>
          </reference>
          <reference field="5" count="2">
            <x v="16"/>
            <x v="65"/>
          </reference>
        </references>
      </pivotArea>
    </format>
    <format dxfId="39">
      <pivotArea collapsedLevelsAreSubtotals="1" fieldPosition="0">
        <references count="2">
          <reference field="4294967294" count="1" selected="0">
            <x v="5"/>
          </reference>
          <reference field="5" count="2">
            <x v="31"/>
            <x v="55"/>
          </reference>
        </references>
      </pivotArea>
    </format>
    <format dxfId="38">
      <pivotArea collapsedLevelsAreSubtotals="1" fieldPosition="0">
        <references count="2">
          <reference field="4294967294" count="1" selected="0">
            <x v="5"/>
          </reference>
          <reference field="5" count="1">
            <x v="49"/>
          </reference>
        </references>
      </pivotArea>
    </format>
    <format dxfId="37">
      <pivotArea collapsedLevelsAreSubtotals="1" fieldPosition="0">
        <references count="2">
          <reference field="4294967294" count="1" selected="0">
            <x v="5"/>
          </reference>
          <reference field="5" count="1">
            <x v="36"/>
          </reference>
        </references>
      </pivotArea>
    </format>
    <format dxfId="36">
      <pivotArea collapsedLevelsAreSubtotals="1" fieldPosition="0">
        <references count="2">
          <reference field="4294967294" count="1" selected="0">
            <x v="5"/>
          </reference>
          <reference field="5" count="3">
            <x v="8"/>
            <x v="37"/>
            <x v="73"/>
          </reference>
        </references>
      </pivotArea>
    </format>
    <format dxfId="35">
      <pivotArea collapsedLevelsAreSubtotals="1" fieldPosition="0">
        <references count="2">
          <reference field="4294967294" count="1" selected="0">
            <x v="5"/>
          </reference>
          <reference field="5" count="1">
            <x v="18"/>
          </reference>
        </references>
      </pivotArea>
    </format>
    <format dxfId="34">
      <pivotArea collapsedLevelsAreSubtotals="1" fieldPosition="0">
        <references count="2">
          <reference field="4294967294" count="1" selected="0">
            <x v="5"/>
          </reference>
          <reference field="5" count="1">
            <x v="72"/>
          </reference>
        </references>
      </pivotArea>
    </format>
    <format dxfId="33">
      <pivotArea collapsedLevelsAreSubtotals="1" fieldPosition="0">
        <references count="2">
          <reference field="4294967294" count="1" selected="0">
            <x v="5"/>
          </reference>
          <reference field="5" count="3">
            <x v="26"/>
            <x v="44"/>
            <x v="46"/>
          </reference>
        </references>
      </pivotArea>
    </format>
    <format dxfId="32">
      <pivotArea collapsedLevelsAreSubtotals="1" fieldPosition="0">
        <references count="2">
          <reference field="4294967294" count="1" selected="0">
            <x v="5"/>
          </reference>
          <reference field="5" count="3">
            <x v="43"/>
            <x v="57"/>
            <x v="75"/>
          </reference>
        </references>
      </pivotArea>
    </format>
    <format dxfId="31">
      <pivotArea collapsedLevelsAreSubtotals="1" fieldPosition="0">
        <references count="2">
          <reference field="4294967294" count="1" selected="0">
            <x v="5"/>
          </reference>
          <reference field="5" count="1">
            <x v="62"/>
          </reference>
        </references>
      </pivotArea>
    </format>
    <format dxfId="30">
      <pivotArea collapsedLevelsAreSubtotals="1" fieldPosition="0">
        <references count="2">
          <reference field="4294967294" count="1" selected="0">
            <x v="5"/>
          </reference>
          <reference field="5" count="1">
            <x v="61"/>
          </reference>
        </references>
      </pivotArea>
    </format>
    <format dxfId="29">
      <pivotArea collapsedLevelsAreSubtotals="1" fieldPosition="0">
        <references count="2">
          <reference field="4294967294" count="1" selected="0">
            <x v="5"/>
          </reference>
          <reference field="5" count="1">
            <x v="28"/>
          </reference>
        </references>
      </pivotArea>
    </format>
    <format dxfId="28">
      <pivotArea collapsedLevelsAreSubtotals="1" fieldPosition="0">
        <references count="2">
          <reference field="4294967294" count="1" selected="0">
            <x v="5"/>
          </reference>
          <reference field="5" count="3">
            <x v="30"/>
            <x v="39"/>
            <x v="45"/>
          </reference>
        </references>
      </pivotArea>
    </format>
    <format dxfId="27">
      <pivotArea collapsedLevelsAreSubtotals="1" fieldPosition="0">
        <references count="2">
          <reference field="4294967294" count="1" selected="0">
            <x v="5"/>
          </reference>
          <reference field="5" count="1">
            <x v="38"/>
          </reference>
        </references>
      </pivotArea>
    </format>
    <format dxfId="26">
      <pivotArea collapsedLevelsAreSubtotals="1" fieldPosition="0">
        <references count="2">
          <reference field="4294967294" count="1" selected="0">
            <x v="5"/>
          </reference>
          <reference field="5" count="1">
            <x v="19"/>
          </reference>
        </references>
      </pivotArea>
    </format>
    <format dxfId="25">
      <pivotArea collapsedLevelsAreSubtotals="1" fieldPosition="0">
        <references count="2">
          <reference field="4294967294" count="1" selected="0">
            <x v="5"/>
          </reference>
          <reference field="5" count="1">
            <x v="53"/>
          </reference>
        </references>
      </pivotArea>
    </format>
    <format dxfId="24">
      <pivotArea collapsedLevelsAreSubtotals="1" fieldPosition="0">
        <references count="2">
          <reference field="4294967294" count="1" selected="0">
            <x v="5"/>
          </reference>
          <reference field="5" count="1">
            <x v="6"/>
          </reference>
        </references>
      </pivotArea>
    </format>
    <format dxfId="23">
      <pivotArea collapsedLevelsAreSubtotals="1" fieldPosition="0">
        <references count="2">
          <reference field="4294967294" count="1" selected="0">
            <x v="5"/>
          </reference>
          <reference field="5" count="1">
            <x v="59"/>
          </reference>
        </references>
      </pivotArea>
    </format>
    <format dxfId="22">
      <pivotArea field="5" grandRow="1" outline="0" collapsedLevelsAreSubtotals="1" axis="axisRow" fieldPosition="0">
        <references count="1">
          <reference field="4294967294" count="1" selected="0">
            <x v="5"/>
          </reference>
        </references>
      </pivotArea>
    </format>
    <format dxfId="21">
      <pivotArea collapsedLevelsAreSubtotals="1" fieldPosition="0">
        <references count="1">
          <reference field="5" count="2">
            <x v="16"/>
            <x v="65"/>
          </reference>
        </references>
      </pivotArea>
    </format>
    <format dxfId="20">
      <pivotArea dataOnly="0" labelOnly="1" fieldPosition="0">
        <references count="1">
          <reference field="5" count="2">
            <x v="16"/>
            <x v="65"/>
          </reference>
        </references>
      </pivotArea>
    </format>
    <format dxfId="19">
      <pivotArea collapsedLevelsAreSubtotals="1" fieldPosition="0">
        <references count="1">
          <reference field="5" count="1">
            <x v="31"/>
          </reference>
        </references>
      </pivotArea>
    </format>
    <format dxfId="18">
      <pivotArea dataOnly="0" labelOnly="1" fieldPosition="0">
        <references count="1">
          <reference field="5" count="1">
            <x v="31"/>
          </reference>
        </references>
      </pivotArea>
    </format>
    <format dxfId="17">
      <pivotArea collapsedLevelsAreSubtotals="1" fieldPosition="0">
        <references count="1">
          <reference field="5" count="1">
            <x v="49"/>
          </reference>
        </references>
      </pivotArea>
    </format>
    <format dxfId="16">
      <pivotArea dataOnly="0" labelOnly="1" fieldPosition="0">
        <references count="1">
          <reference field="5" count="1">
            <x v="49"/>
          </reference>
        </references>
      </pivotArea>
    </format>
    <format dxfId="15">
      <pivotArea collapsedLevelsAreSubtotals="1" fieldPosition="0">
        <references count="1">
          <reference field="5" count="1">
            <x v="36"/>
          </reference>
        </references>
      </pivotArea>
    </format>
    <format dxfId="14">
      <pivotArea dataOnly="0" labelOnly="1" fieldPosition="0">
        <references count="1">
          <reference field="5" count="1">
            <x v="36"/>
          </reference>
        </references>
      </pivotArea>
    </format>
    <format dxfId="13">
      <pivotArea collapsedLevelsAreSubtotals="1" fieldPosition="0">
        <references count="1">
          <reference field="5" count="1">
            <x v="73"/>
          </reference>
        </references>
      </pivotArea>
    </format>
    <format dxfId="12">
      <pivotArea dataOnly="0" labelOnly="1" fieldPosition="0">
        <references count="1">
          <reference field="5" count="1">
            <x v="73"/>
          </reference>
        </references>
      </pivotArea>
    </format>
    <format dxfId="11">
      <pivotArea collapsedLevelsAreSubtotals="1" fieldPosition="0">
        <references count="1">
          <reference field="5" count="1">
            <x v="37"/>
          </reference>
        </references>
      </pivotArea>
    </format>
    <format dxfId="10">
      <pivotArea dataOnly="0" labelOnly="1" fieldPosition="0">
        <references count="1">
          <reference field="5" count="1">
            <x v="37"/>
          </reference>
        </references>
      </pivotArea>
    </format>
    <format dxfId="9">
      <pivotArea collapsedLevelsAreSubtotals="1" fieldPosition="0">
        <references count="1">
          <reference field="5" count="1">
            <x v="18"/>
          </reference>
        </references>
      </pivotArea>
    </format>
    <format dxfId="8">
      <pivotArea dataOnly="0" labelOnly="1" fieldPosition="0">
        <references count="1">
          <reference field="5" count="1">
            <x v="18"/>
          </reference>
        </references>
      </pivotArea>
    </format>
    <format dxfId="7">
      <pivotArea collapsedLevelsAreSubtotals="1" fieldPosition="0">
        <references count="1">
          <reference field="5" count="2">
            <x v="26"/>
            <x v="44"/>
          </reference>
        </references>
      </pivotArea>
    </format>
    <format dxfId="6">
      <pivotArea dataOnly="0" labelOnly="1" fieldPosition="0">
        <references count="1">
          <reference field="5" count="2">
            <x v="26"/>
            <x v="44"/>
          </reference>
        </references>
      </pivotArea>
    </format>
    <format dxfId="5">
      <pivotArea collapsedLevelsAreSubtotals="1" fieldPosition="0">
        <references count="1">
          <reference field="5" count="1">
            <x v="39"/>
          </reference>
        </references>
      </pivotArea>
    </format>
    <format dxfId="4">
      <pivotArea dataOnly="0" labelOnly="1" fieldPosition="0">
        <references count="1">
          <reference field="5" count="1">
            <x v="39"/>
          </reference>
        </references>
      </pivotArea>
    </format>
    <format dxfId="3">
      <pivotArea collapsedLevelsAreSubtotals="1" fieldPosition="0">
        <references count="1">
          <reference field="5" count="1">
            <x v="30"/>
          </reference>
        </references>
      </pivotArea>
    </format>
    <format dxfId="2">
      <pivotArea dataOnly="0" labelOnly="1" fieldPosition="0">
        <references count="1">
          <reference field="5" count="1">
            <x v="30"/>
          </reference>
        </references>
      </pivotArea>
    </format>
    <format dxfId="1">
      <pivotArea field="5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N1965"/>
  <sheetViews>
    <sheetView zoomScaleNormal="100" workbookViewId="0">
      <pane xSplit="4" ySplit="2" topLeftCell="E1413" activePane="bottomRight" state="frozen"/>
      <selection pane="topRight" activeCell="F1" sqref="F1"/>
      <selection pane="bottomLeft" activeCell="A3" sqref="A3"/>
      <selection pane="bottomRight" activeCell="E1413" sqref="E1413"/>
    </sheetView>
  </sheetViews>
  <sheetFormatPr defaultColWidth="9.140625" defaultRowHeight="16.5" x14ac:dyDescent="0.25"/>
  <cols>
    <col min="1" max="1" width="5.7109375" style="5" customWidth="1"/>
    <col min="2" max="2" width="25.7109375" style="6" customWidth="1"/>
    <col min="3" max="3" width="9.140625" style="7"/>
    <col min="4" max="4" width="27.5703125" style="23" customWidth="1"/>
    <col min="5" max="5" width="22.28515625" style="6" customWidth="1"/>
    <col min="6" max="6" width="26.140625" style="4" customWidth="1"/>
    <col min="7" max="7" width="142.5703125" style="6" customWidth="1"/>
    <col min="8" max="8" width="17.42578125" style="22" customWidth="1"/>
    <col min="9" max="9" width="10.85546875" style="9" bestFit="1" customWidth="1"/>
    <col min="10" max="10" width="17.42578125" style="22" customWidth="1"/>
    <col min="11" max="11" width="12" style="9" customWidth="1"/>
    <col min="12" max="12" width="12.28515625" style="9" bestFit="1" customWidth="1"/>
    <col min="13" max="13" width="11.42578125" style="9" bestFit="1" customWidth="1"/>
    <col min="14" max="16384" width="9.140625" style="5"/>
  </cols>
  <sheetData>
    <row r="1" spans="1:13" s="33" customFormat="1" x14ac:dyDescent="0.25">
      <c r="B1" s="30"/>
      <c r="C1" s="29"/>
      <c r="D1" s="8"/>
      <c r="E1" s="30"/>
      <c r="F1" s="32"/>
      <c r="G1" s="30"/>
      <c r="H1" s="34"/>
      <c r="I1" s="31"/>
      <c r="J1" s="34"/>
      <c r="K1" s="31"/>
      <c r="L1" s="31"/>
      <c r="M1" s="31"/>
    </row>
    <row r="2" spans="1:13" ht="47.25" customHeight="1" x14ac:dyDescent="0.25">
      <c r="A2" s="14" t="s">
        <v>84</v>
      </c>
      <c r="B2" s="15" t="s">
        <v>85</v>
      </c>
      <c r="C2" s="14" t="s">
        <v>86</v>
      </c>
      <c r="D2" s="16" t="s">
        <v>87</v>
      </c>
      <c r="E2" s="15" t="s">
        <v>88</v>
      </c>
      <c r="F2" s="18" t="s">
        <v>89</v>
      </c>
      <c r="G2" s="70" t="s">
        <v>90</v>
      </c>
      <c r="H2" s="19" t="s">
        <v>91</v>
      </c>
      <c r="I2" s="17" t="s">
        <v>92</v>
      </c>
      <c r="J2" s="19" t="s">
        <v>93</v>
      </c>
      <c r="K2" s="17" t="s">
        <v>94</v>
      </c>
      <c r="L2" s="17" t="s">
        <v>95</v>
      </c>
      <c r="M2" s="17" t="s">
        <v>96</v>
      </c>
    </row>
    <row r="3" spans="1:13" x14ac:dyDescent="0.25">
      <c r="A3" s="7">
        <v>1</v>
      </c>
      <c r="B3" s="6" t="s">
        <v>97</v>
      </c>
      <c r="C3" s="7">
        <v>5454518</v>
      </c>
      <c r="D3" s="20" t="str">
        <f>IF(VALUE(LEFT(TEXT(C3,"####0000"),1))&lt;5,"https://crz.gov.sk/" &amp; C3,"https://crz.gov.sk/zmluva/" &amp; C3)</f>
        <v>https://crz.gov.sk/zmluva/5454518</v>
      </c>
      <c r="E3" s="6" t="s">
        <v>98</v>
      </c>
      <c r="F3" s="21" t="s">
        <v>60</v>
      </c>
      <c r="G3" s="45" t="s">
        <v>99</v>
      </c>
      <c r="H3" s="22">
        <v>574</v>
      </c>
      <c r="I3" s="9">
        <v>150</v>
      </c>
      <c r="J3" s="22">
        <f>I3*H3</f>
        <v>86100</v>
      </c>
      <c r="K3" s="9">
        <f t="array" ref="K3">QUARTILE(IF($F$3:$F$1460=$F3,$H$3:$H$1460),1)</f>
        <v>680</v>
      </c>
      <c r="L3" s="9">
        <f t="array" ref="L3">QUARTILE(IF($F$3:$F$1460=$F3,$H$3:$H$1460),2)</f>
        <v>991</v>
      </c>
      <c r="M3" s="9">
        <f t="array" ref="M3">QUARTILE(IF($F$3:$F$1460=$F3,$H$3:$H$1460),3)</f>
        <v>1485.8333333333335</v>
      </c>
    </row>
    <row r="4" spans="1:13" x14ac:dyDescent="0.25">
      <c r="A4" s="7">
        <v>2</v>
      </c>
      <c r="B4" s="6" t="s">
        <v>97</v>
      </c>
      <c r="C4" s="7">
        <v>5454518</v>
      </c>
      <c r="D4" s="20" t="str">
        <f t="shared" ref="D4:D33" si="0">IF(VALUE(LEFT(TEXT(C4,"####0000"),1))&lt;5,"https://crz.gov.sk/" &amp; C4,"https://crz.gov.sk/zmluva/" &amp; C4)</f>
        <v>https://crz.gov.sk/zmluva/5454518</v>
      </c>
      <c r="E4" s="6" t="s">
        <v>98</v>
      </c>
      <c r="F4" s="21" t="s">
        <v>60</v>
      </c>
      <c r="G4" s="45" t="s">
        <v>100</v>
      </c>
      <c r="H4" s="22">
        <v>811</v>
      </c>
      <c r="I4" s="9">
        <v>100</v>
      </c>
      <c r="J4" s="22">
        <f t="shared" ref="J4:J101" si="1">I4*H4</f>
        <v>81100</v>
      </c>
      <c r="K4" s="9">
        <f t="array" ref="K4">QUARTILE(IF($F$3:$F$1460=$F4,$H$3:$H$1460),1)</f>
        <v>680</v>
      </c>
      <c r="L4" s="9">
        <f t="array" ref="L4">QUARTILE(IF($F$3:$F$1460=$F4,$H$3:$H$1460),2)</f>
        <v>991</v>
      </c>
      <c r="M4" s="9">
        <f t="array" ref="M4">QUARTILE(IF($F$3:$F$1460=$F4,$H$3:$H$1460),3)</f>
        <v>1485.8333333333335</v>
      </c>
    </row>
    <row r="5" spans="1:13" x14ac:dyDescent="0.25">
      <c r="A5" s="7">
        <v>3</v>
      </c>
      <c r="B5" s="6" t="s">
        <v>97</v>
      </c>
      <c r="C5" s="7">
        <v>5454518</v>
      </c>
      <c r="D5" s="20" t="str">
        <f t="shared" si="0"/>
        <v>https://crz.gov.sk/zmluva/5454518</v>
      </c>
      <c r="E5" s="6" t="s">
        <v>98</v>
      </c>
      <c r="F5" s="21" t="s">
        <v>62</v>
      </c>
      <c r="G5" s="45" t="s">
        <v>101</v>
      </c>
      <c r="H5" s="22">
        <v>1008</v>
      </c>
      <c r="I5" s="9">
        <v>50</v>
      </c>
      <c r="J5" s="22">
        <f t="shared" si="1"/>
        <v>50400</v>
      </c>
      <c r="K5" s="9">
        <f t="array" ref="K5">QUARTILE(IF($F$3:$F$1460=$F5,$H$3:$H$1460),1)</f>
        <v>783.15</v>
      </c>
      <c r="L5" s="9">
        <f t="array" ref="L5">QUARTILE(IF($F$3:$F$1460=$F5,$H$3:$H$1460),2)</f>
        <v>1196.3</v>
      </c>
      <c r="M5" s="9">
        <f t="array" ref="M5">QUARTILE(IF($F$3:$F$1460=$F5,$H$3:$H$1460),3)</f>
        <v>1455.5</v>
      </c>
    </row>
    <row r="6" spans="1:13" x14ac:dyDescent="0.25">
      <c r="A6" s="7">
        <v>4</v>
      </c>
      <c r="B6" s="6" t="s">
        <v>97</v>
      </c>
      <c r="C6" s="7">
        <v>5454518</v>
      </c>
      <c r="D6" s="20" t="str">
        <f t="shared" si="0"/>
        <v>https://crz.gov.sk/zmluva/5454518</v>
      </c>
      <c r="E6" s="6" t="s">
        <v>98</v>
      </c>
      <c r="F6" s="21" t="s">
        <v>62</v>
      </c>
      <c r="G6" s="45" t="s">
        <v>102</v>
      </c>
      <c r="H6" s="22">
        <v>911</v>
      </c>
      <c r="I6" s="9">
        <v>50</v>
      </c>
      <c r="J6" s="22">
        <f t="shared" si="1"/>
        <v>45550</v>
      </c>
      <c r="K6" s="9">
        <f t="array" ref="K6">QUARTILE(IF($F$3:$F$1460=$F6,$H$3:$H$1460),1)</f>
        <v>783.15</v>
      </c>
      <c r="L6" s="9">
        <f t="array" ref="L6">QUARTILE(IF($F$3:$F$1460=$F6,$H$3:$H$1460),2)</f>
        <v>1196.3</v>
      </c>
      <c r="M6" s="9">
        <f t="array" ref="M6">QUARTILE(IF($F$3:$F$1460=$F6,$H$3:$H$1460),3)</f>
        <v>1455.5</v>
      </c>
    </row>
    <row r="7" spans="1:13" x14ac:dyDescent="0.25">
      <c r="A7" s="7">
        <v>5</v>
      </c>
      <c r="B7" s="6" t="s">
        <v>97</v>
      </c>
      <c r="C7" s="7">
        <v>5454518</v>
      </c>
      <c r="D7" s="20" t="str">
        <f t="shared" si="0"/>
        <v>https://crz.gov.sk/zmluva/5454518</v>
      </c>
      <c r="E7" s="6" t="s">
        <v>98</v>
      </c>
      <c r="F7" s="21" t="s">
        <v>62</v>
      </c>
      <c r="G7" s="45" t="s">
        <v>103</v>
      </c>
      <c r="H7" s="22">
        <v>1551</v>
      </c>
      <c r="I7" s="9">
        <v>30</v>
      </c>
      <c r="J7" s="22">
        <f t="shared" si="1"/>
        <v>46530</v>
      </c>
      <c r="K7" s="9">
        <f t="array" ref="K7">QUARTILE(IF($F$3:$F$1460=$F7,$H$3:$H$1460),1)</f>
        <v>783.15</v>
      </c>
      <c r="L7" s="9">
        <f t="array" ref="L7">QUARTILE(IF($F$3:$F$1460=$F7,$H$3:$H$1460),2)</f>
        <v>1196.3</v>
      </c>
      <c r="M7" s="9">
        <f t="array" ref="M7">QUARTILE(IF($F$3:$F$1460=$F7,$H$3:$H$1460),3)</f>
        <v>1455.5</v>
      </c>
    </row>
    <row r="8" spans="1:13" x14ac:dyDescent="0.25">
      <c r="A8" s="7">
        <v>6</v>
      </c>
      <c r="B8" s="6" t="s">
        <v>97</v>
      </c>
      <c r="C8" s="7">
        <v>5454518</v>
      </c>
      <c r="D8" s="20" t="str">
        <f t="shared" si="0"/>
        <v>https://crz.gov.sk/zmluva/5454518</v>
      </c>
      <c r="E8" s="6" t="s">
        <v>98</v>
      </c>
      <c r="F8" s="21" t="s">
        <v>44</v>
      </c>
      <c r="G8" s="45" t="s">
        <v>104</v>
      </c>
      <c r="H8" s="22">
        <v>143</v>
      </c>
      <c r="I8" s="9">
        <v>150</v>
      </c>
      <c r="J8" s="22">
        <f t="shared" si="1"/>
        <v>21450</v>
      </c>
      <c r="K8" s="9">
        <f t="array" ref="K8">QUARTILE(IF($F$3:$F$1460=$F8,$H$3:$H$1460),1)</f>
        <v>141.67500000000001</v>
      </c>
      <c r="L8" s="9">
        <f t="array" ref="L8">QUARTILE(IF($F$3:$F$1460=$F8,$H$3:$H$1460),2)</f>
        <v>194</v>
      </c>
      <c r="M8" s="9">
        <f t="array" ref="M8">QUARTILE(IF($F$3:$F$1460=$F8,$H$3:$H$1460),3)</f>
        <v>266.75</v>
      </c>
    </row>
    <row r="9" spans="1:13" x14ac:dyDescent="0.25">
      <c r="A9" s="7">
        <v>7</v>
      </c>
      <c r="B9" s="6" t="s">
        <v>97</v>
      </c>
      <c r="C9" s="7">
        <v>5454518</v>
      </c>
      <c r="D9" s="20" t="str">
        <f t="shared" si="0"/>
        <v>https://crz.gov.sk/zmluva/5454518</v>
      </c>
      <c r="E9" s="6" t="s">
        <v>98</v>
      </c>
      <c r="F9" s="21" t="s">
        <v>44</v>
      </c>
      <c r="G9" s="45" t="s">
        <v>105</v>
      </c>
      <c r="H9" s="22">
        <v>264</v>
      </c>
      <c r="I9" s="9">
        <v>100</v>
      </c>
      <c r="J9" s="22">
        <f t="shared" si="1"/>
        <v>26400</v>
      </c>
      <c r="K9" s="9">
        <f t="array" ref="K9">QUARTILE(IF($F$3:$F$1460=$F9,$H$3:$H$1460),1)</f>
        <v>141.67500000000001</v>
      </c>
      <c r="L9" s="9">
        <f t="array" ref="L9">QUARTILE(IF($F$3:$F$1460=$F9,$H$3:$H$1460),2)</f>
        <v>194</v>
      </c>
      <c r="M9" s="9">
        <f t="array" ref="M9">QUARTILE(IF($F$3:$F$1460=$F9,$H$3:$H$1460),3)</f>
        <v>266.75</v>
      </c>
    </row>
    <row r="10" spans="1:13" x14ac:dyDescent="0.25">
      <c r="A10" s="7">
        <v>8</v>
      </c>
      <c r="B10" s="6" t="s">
        <v>97</v>
      </c>
      <c r="C10" s="7">
        <v>5454518</v>
      </c>
      <c r="D10" s="20" t="str">
        <f t="shared" si="0"/>
        <v>https://crz.gov.sk/zmluva/5454518</v>
      </c>
      <c r="E10" s="6" t="s">
        <v>98</v>
      </c>
      <c r="F10" s="21" t="s">
        <v>46</v>
      </c>
      <c r="G10" s="45" t="s">
        <v>106</v>
      </c>
      <c r="H10" s="22">
        <v>229</v>
      </c>
      <c r="I10" s="9">
        <v>25</v>
      </c>
      <c r="J10" s="22">
        <f t="shared" si="1"/>
        <v>5725</v>
      </c>
      <c r="K10" s="9">
        <f t="array" ref="K10">QUARTILE(IF($F$3:$F$1460=$F10,$H$3:$H$1460),1)</f>
        <v>229.78</v>
      </c>
      <c r="L10" s="9">
        <f t="array" ref="L10">QUARTILE(IF($F$3:$F$1460=$F10,$H$3:$H$1460),2)</f>
        <v>424.2</v>
      </c>
      <c r="M10" s="9">
        <f t="array" ref="M10">QUARTILE(IF($F$3:$F$1460=$F10,$H$3:$H$1460),3)</f>
        <v>1030.3</v>
      </c>
    </row>
    <row r="11" spans="1:13" x14ac:dyDescent="0.25">
      <c r="A11" s="7">
        <v>9</v>
      </c>
      <c r="B11" s="6" t="s">
        <v>97</v>
      </c>
      <c r="C11" s="7">
        <v>5454518</v>
      </c>
      <c r="D11" s="20" t="str">
        <f t="shared" si="0"/>
        <v>https://crz.gov.sk/zmluva/5454518</v>
      </c>
      <c r="E11" s="6" t="s">
        <v>98</v>
      </c>
      <c r="F11" s="21" t="s">
        <v>46</v>
      </c>
      <c r="G11" s="45" t="s">
        <v>107</v>
      </c>
      <c r="H11" s="22">
        <v>492</v>
      </c>
      <c r="I11" s="9">
        <v>25</v>
      </c>
      <c r="J11" s="22">
        <f t="shared" si="1"/>
        <v>12300</v>
      </c>
      <c r="K11" s="9">
        <f t="array" ref="K11">QUARTILE(IF($F$3:$F$1460=$F11,$H$3:$H$1460),1)</f>
        <v>229.78</v>
      </c>
      <c r="L11" s="9">
        <f t="array" ref="L11">QUARTILE(IF($F$3:$F$1460=$F11,$H$3:$H$1460),2)</f>
        <v>424.2</v>
      </c>
      <c r="M11" s="9">
        <f t="array" ref="M11">QUARTILE(IF($F$3:$F$1460=$F11,$H$3:$H$1460),3)</f>
        <v>1030.3</v>
      </c>
    </row>
    <row r="12" spans="1:13" x14ac:dyDescent="0.25">
      <c r="A12" s="7">
        <v>10</v>
      </c>
      <c r="B12" s="6" t="s">
        <v>97</v>
      </c>
      <c r="C12" s="7">
        <v>5454518</v>
      </c>
      <c r="D12" s="20" t="str">
        <f t="shared" si="0"/>
        <v>https://crz.gov.sk/zmluva/5454518</v>
      </c>
      <c r="E12" s="6" t="s">
        <v>98</v>
      </c>
      <c r="F12" s="21" t="s">
        <v>46</v>
      </c>
      <c r="G12" s="45" t="s">
        <v>108</v>
      </c>
      <c r="H12" s="22">
        <v>191</v>
      </c>
      <c r="I12" s="9">
        <v>15</v>
      </c>
      <c r="J12" s="22">
        <f t="shared" si="1"/>
        <v>2865</v>
      </c>
      <c r="K12" s="9">
        <f t="array" ref="K12">QUARTILE(IF($F$3:$F$1460=$F12,$H$3:$H$1460),1)</f>
        <v>229.78</v>
      </c>
      <c r="L12" s="9">
        <f t="array" ref="L12">QUARTILE(IF($F$3:$F$1460=$F12,$H$3:$H$1460),2)</f>
        <v>424.2</v>
      </c>
      <c r="M12" s="9">
        <f t="array" ref="M12">QUARTILE(IF($F$3:$F$1460=$F12,$H$3:$H$1460),3)</f>
        <v>1030.3</v>
      </c>
    </row>
    <row r="13" spans="1:13" x14ac:dyDescent="0.25">
      <c r="A13" s="7">
        <v>11</v>
      </c>
      <c r="B13" s="6" t="s">
        <v>97</v>
      </c>
      <c r="C13" s="7">
        <v>5454518</v>
      </c>
      <c r="D13" s="20" t="str">
        <f t="shared" si="0"/>
        <v>https://crz.gov.sk/zmluva/5454518</v>
      </c>
      <c r="E13" s="6" t="s">
        <v>98</v>
      </c>
      <c r="F13" s="21" t="s">
        <v>54</v>
      </c>
      <c r="G13" s="45" t="s">
        <v>109</v>
      </c>
      <c r="H13" s="22">
        <v>374</v>
      </c>
      <c r="I13" s="9">
        <v>50</v>
      </c>
      <c r="J13" s="22">
        <f t="shared" si="1"/>
        <v>18700</v>
      </c>
      <c r="K13" s="9">
        <f t="array" ref="K13">QUARTILE(IF($F$3:$F$1460=$F13,$H$3:$H$1460),1)</f>
        <v>393.94499999999999</v>
      </c>
      <c r="L13" s="9">
        <f t="array" ref="L13">QUARTILE(IF($F$3:$F$1460=$F13,$H$3:$H$1460),2)</f>
        <v>710.01499999999999</v>
      </c>
      <c r="M13" s="9">
        <f t="array" ref="M13">QUARTILE(IF($F$3:$F$1460=$F13,$H$3:$H$1460),3)</f>
        <v>2552.0574999999999</v>
      </c>
    </row>
    <row r="14" spans="1:13" x14ac:dyDescent="0.25">
      <c r="A14" s="7">
        <v>12</v>
      </c>
      <c r="B14" s="6" t="s">
        <v>97</v>
      </c>
      <c r="C14" s="7">
        <v>5454518</v>
      </c>
      <c r="D14" s="20" t="str">
        <f t="shared" si="0"/>
        <v>https://crz.gov.sk/zmluva/5454518</v>
      </c>
      <c r="E14" s="6" t="s">
        <v>98</v>
      </c>
      <c r="F14" s="21" t="s">
        <v>54</v>
      </c>
      <c r="G14" s="45" t="s">
        <v>110</v>
      </c>
      <c r="H14" s="22">
        <v>620</v>
      </c>
      <c r="I14" s="9">
        <v>50</v>
      </c>
      <c r="J14" s="22">
        <f t="shared" si="1"/>
        <v>31000</v>
      </c>
      <c r="K14" s="9">
        <f t="array" ref="K14">QUARTILE(IF($F$3:$F$1460=$F14,$H$3:$H$1460),1)</f>
        <v>393.94499999999999</v>
      </c>
      <c r="L14" s="9">
        <f t="array" ref="L14">QUARTILE(IF($F$3:$F$1460=$F14,$H$3:$H$1460),2)</f>
        <v>710.01499999999999</v>
      </c>
      <c r="M14" s="9">
        <f t="array" ref="M14">QUARTILE(IF($F$3:$F$1460=$F14,$H$3:$H$1460),3)</f>
        <v>2552.0574999999999</v>
      </c>
    </row>
    <row r="15" spans="1:13" x14ac:dyDescent="0.25">
      <c r="A15" s="7">
        <v>13</v>
      </c>
      <c r="B15" s="6" t="s">
        <v>97</v>
      </c>
      <c r="C15" s="7">
        <v>5454518</v>
      </c>
      <c r="D15" s="20" t="str">
        <f t="shared" si="0"/>
        <v>https://crz.gov.sk/zmluva/5454518</v>
      </c>
      <c r="E15" s="6" t="s">
        <v>98</v>
      </c>
      <c r="F15" s="21" t="s">
        <v>54</v>
      </c>
      <c r="G15" s="45" t="s">
        <v>111</v>
      </c>
      <c r="H15" s="22">
        <v>7520</v>
      </c>
      <c r="I15" s="9">
        <v>10</v>
      </c>
      <c r="J15" s="22">
        <f t="shared" si="1"/>
        <v>75200</v>
      </c>
      <c r="K15" s="9">
        <f t="array" ref="K15">QUARTILE(IF($F$3:$F$1460=$F15,$H$3:$H$1460),1)</f>
        <v>393.94499999999999</v>
      </c>
      <c r="L15" s="9">
        <f t="array" ref="L15">QUARTILE(IF($F$3:$F$1460=$F15,$H$3:$H$1460),2)</f>
        <v>710.01499999999999</v>
      </c>
      <c r="M15" s="9">
        <f t="array" ref="M15">QUARTILE(IF($F$3:$F$1460=$F15,$H$3:$H$1460),3)</f>
        <v>2552.0574999999999</v>
      </c>
    </row>
    <row r="16" spans="1:13" x14ac:dyDescent="0.25">
      <c r="A16" s="7">
        <v>14</v>
      </c>
      <c r="B16" s="6" t="s">
        <v>97</v>
      </c>
      <c r="C16" s="7">
        <v>5454518</v>
      </c>
      <c r="D16" s="20" t="str">
        <f t="shared" si="0"/>
        <v>https://crz.gov.sk/zmluva/5454518</v>
      </c>
      <c r="E16" s="6" t="s">
        <v>98</v>
      </c>
      <c r="F16" s="21" t="s">
        <v>17</v>
      </c>
      <c r="G16" s="45" t="s">
        <v>112</v>
      </c>
      <c r="H16" s="22">
        <v>2692</v>
      </c>
      <c r="I16" s="9">
        <v>10</v>
      </c>
      <c r="J16" s="22">
        <f t="shared" si="1"/>
        <v>26920</v>
      </c>
      <c r="K16" s="9">
        <f t="array" ref="K16">QUARTILE(IF($F$3:$F$1460=$F16,$H$3:$H$1460),1)</f>
        <v>17.549999999999997</v>
      </c>
      <c r="L16" s="9">
        <f t="array" ref="L16">QUARTILE(IF($F$3:$F$1460=$F16,$H$3:$H$1460),2)</f>
        <v>275.8</v>
      </c>
      <c r="M16" s="9">
        <f t="array" ref="M16">QUARTILE(IF($F$3:$F$1460=$F16,$H$3:$H$1460),3)</f>
        <v>11191.057499999999</v>
      </c>
    </row>
    <row r="17" spans="1:13" x14ac:dyDescent="0.25">
      <c r="A17" s="7">
        <v>15</v>
      </c>
      <c r="B17" s="6" t="s">
        <v>97</v>
      </c>
      <c r="C17" s="7">
        <v>5454518</v>
      </c>
      <c r="D17" s="20" t="str">
        <f t="shared" si="0"/>
        <v>https://crz.gov.sk/zmluva/5454518</v>
      </c>
      <c r="E17" s="6" t="s">
        <v>98</v>
      </c>
      <c r="F17" s="21" t="s">
        <v>41</v>
      </c>
      <c r="G17" s="45" t="s">
        <v>113</v>
      </c>
      <c r="H17" s="22">
        <v>1325</v>
      </c>
      <c r="I17" s="9">
        <v>5</v>
      </c>
      <c r="J17" s="22">
        <f t="shared" si="1"/>
        <v>6625</v>
      </c>
      <c r="K17" s="9">
        <f t="array" ref="K17">QUARTILE(IF($F$3:$F$1460=$F17,$H$3:$H$1460),1)</f>
        <v>112.19999999999999</v>
      </c>
      <c r="L17" s="9">
        <f t="array" ref="L17">QUARTILE(IF($F$3:$F$1460=$F17,$H$3:$H$1460),2)</f>
        <v>252</v>
      </c>
      <c r="M17" s="9">
        <f t="array" ref="M17">QUARTILE(IF($F$3:$F$1460=$F17,$H$3:$H$1460),3)</f>
        <v>2310</v>
      </c>
    </row>
    <row r="18" spans="1:13" x14ac:dyDescent="0.25">
      <c r="A18" s="7">
        <v>16</v>
      </c>
      <c r="B18" s="6" t="s">
        <v>97</v>
      </c>
      <c r="C18" s="7">
        <v>5454518</v>
      </c>
      <c r="D18" s="20" t="str">
        <f t="shared" si="0"/>
        <v>https://crz.gov.sk/zmluva/5454518</v>
      </c>
      <c r="E18" s="6" t="s">
        <v>98</v>
      </c>
      <c r="F18" s="21" t="s">
        <v>41</v>
      </c>
      <c r="G18" s="45" t="s">
        <v>114</v>
      </c>
      <c r="H18" s="22">
        <v>4040</v>
      </c>
      <c r="I18" s="9">
        <v>5</v>
      </c>
      <c r="J18" s="22">
        <f t="shared" si="1"/>
        <v>20200</v>
      </c>
      <c r="K18" s="9">
        <f t="array" ref="K18">QUARTILE(IF($F$3:$F$1460=$F18,$H$3:$H$1460),1)</f>
        <v>112.19999999999999</v>
      </c>
      <c r="L18" s="9">
        <f t="array" ref="L18">QUARTILE(IF($F$3:$F$1460=$F18,$H$3:$H$1460),2)</f>
        <v>252</v>
      </c>
      <c r="M18" s="9">
        <f t="array" ref="M18">QUARTILE(IF($F$3:$F$1460=$F18,$H$3:$H$1460),3)</f>
        <v>2310</v>
      </c>
    </row>
    <row r="19" spans="1:13" x14ac:dyDescent="0.25">
      <c r="A19" s="7">
        <v>17</v>
      </c>
      <c r="B19" s="6" t="s">
        <v>97</v>
      </c>
      <c r="C19" s="7">
        <v>5454518</v>
      </c>
      <c r="D19" s="20" t="str">
        <f t="shared" si="0"/>
        <v>https://crz.gov.sk/zmluva/5454518</v>
      </c>
      <c r="E19" s="6" t="s">
        <v>98</v>
      </c>
      <c r="F19" s="21" t="s">
        <v>41</v>
      </c>
      <c r="G19" s="45" t="s">
        <v>115</v>
      </c>
      <c r="H19" s="22">
        <v>3295</v>
      </c>
      <c r="I19" s="9">
        <v>5</v>
      </c>
      <c r="J19" s="22">
        <f t="shared" si="1"/>
        <v>16475</v>
      </c>
      <c r="K19" s="9">
        <f t="array" ref="K19">QUARTILE(IF($F$3:$F$1460=$F19,$H$3:$H$1460),1)</f>
        <v>112.19999999999999</v>
      </c>
      <c r="L19" s="9">
        <f t="array" ref="L19">QUARTILE(IF($F$3:$F$1460=$F19,$H$3:$H$1460),2)</f>
        <v>252</v>
      </c>
      <c r="M19" s="9">
        <f t="array" ref="M19">QUARTILE(IF($F$3:$F$1460=$F19,$H$3:$H$1460),3)</f>
        <v>2310</v>
      </c>
    </row>
    <row r="20" spans="1:13" x14ac:dyDescent="0.25">
      <c r="A20" s="7">
        <v>18</v>
      </c>
      <c r="B20" s="6" t="s">
        <v>97</v>
      </c>
      <c r="C20" s="7">
        <v>5454518</v>
      </c>
      <c r="D20" s="20" t="str">
        <f t="shared" si="0"/>
        <v>https://crz.gov.sk/zmluva/5454518</v>
      </c>
      <c r="E20" s="6" t="s">
        <v>98</v>
      </c>
      <c r="F20" s="21" t="s">
        <v>41</v>
      </c>
      <c r="G20" s="45" t="s">
        <v>116</v>
      </c>
      <c r="H20" s="22">
        <v>7344</v>
      </c>
      <c r="I20" s="9">
        <v>2</v>
      </c>
      <c r="J20" s="22">
        <f t="shared" si="1"/>
        <v>14688</v>
      </c>
      <c r="K20" s="9">
        <f t="array" ref="K20">QUARTILE(IF($F$3:$F$1460=$F20,$H$3:$H$1460),1)</f>
        <v>112.19999999999999</v>
      </c>
      <c r="L20" s="9">
        <f t="array" ref="L20">QUARTILE(IF($F$3:$F$1460=$F20,$H$3:$H$1460),2)</f>
        <v>252</v>
      </c>
      <c r="M20" s="9">
        <f t="array" ref="M20">QUARTILE(IF($F$3:$F$1460=$F20,$H$3:$H$1460),3)</f>
        <v>2310</v>
      </c>
    </row>
    <row r="21" spans="1:13" x14ac:dyDescent="0.25">
      <c r="A21" s="7">
        <v>19</v>
      </c>
      <c r="B21" s="6" t="s">
        <v>97</v>
      </c>
      <c r="C21" s="7">
        <v>5454518</v>
      </c>
      <c r="D21" s="20" t="str">
        <f t="shared" si="0"/>
        <v>https://crz.gov.sk/zmluva/5454518</v>
      </c>
      <c r="E21" s="6" t="s">
        <v>98</v>
      </c>
      <c r="F21" s="21" t="s">
        <v>61</v>
      </c>
      <c r="G21" s="45" t="s">
        <v>117</v>
      </c>
      <c r="H21" s="22">
        <v>9020</v>
      </c>
      <c r="I21" s="9">
        <v>10</v>
      </c>
      <c r="J21" s="22">
        <f t="shared" si="1"/>
        <v>90200</v>
      </c>
      <c r="K21" s="9">
        <f t="array" ref="K21">QUARTILE(IF($F$3:$F$1460=$F21,$H$3:$H$1460),1)</f>
        <v>709.95</v>
      </c>
      <c r="L21" s="9">
        <f t="array" ref="L21">QUARTILE(IF($F$3:$F$1460=$F21,$H$3:$H$1460),2)</f>
        <v>1000</v>
      </c>
      <c r="M21" s="9">
        <f t="array" ref="M21">QUARTILE(IF($F$3:$F$1460=$F21,$H$3:$H$1460),3)</f>
        <v>5171.4583333333339</v>
      </c>
    </row>
    <row r="22" spans="1:13" x14ac:dyDescent="0.25">
      <c r="A22" s="7">
        <v>20</v>
      </c>
      <c r="B22" s="6" t="s">
        <v>97</v>
      </c>
      <c r="C22" s="7">
        <v>5454518</v>
      </c>
      <c r="D22" s="20" t="str">
        <f t="shared" si="0"/>
        <v>https://crz.gov.sk/zmluva/5454518</v>
      </c>
      <c r="E22" s="6" t="s">
        <v>98</v>
      </c>
      <c r="F22" s="21" t="s">
        <v>61</v>
      </c>
      <c r="G22" s="45" t="s">
        <v>118</v>
      </c>
      <c r="H22" s="22">
        <v>3895</v>
      </c>
      <c r="I22" s="9">
        <v>5</v>
      </c>
      <c r="J22" s="22">
        <f t="shared" si="1"/>
        <v>19475</v>
      </c>
      <c r="K22" s="9">
        <f t="array" ref="K22">QUARTILE(IF($F$3:$F$1460=$F22,$H$3:$H$1460),1)</f>
        <v>709.95</v>
      </c>
      <c r="L22" s="9">
        <f t="array" ref="L22">QUARTILE(IF($F$3:$F$1460=$F22,$H$3:$H$1460),2)</f>
        <v>1000</v>
      </c>
      <c r="M22" s="9">
        <f t="array" ref="M22">QUARTILE(IF($F$3:$F$1460=$F22,$H$3:$H$1460),3)</f>
        <v>5171.4583333333339</v>
      </c>
    </row>
    <row r="23" spans="1:13" x14ac:dyDescent="0.25">
      <c r="A23" s="7">
        <v>21</v>
      </c>
      <c r="B23" s="6" t="s">
        <v>97</v>
      </c>
      <c r="C23" s="7">
        <v>5454518</v>
      </c>
      <c r="D23" s="20" t="str">
        <f t="shared" si="0"/>
        <v>https://crz.gov.sk/zmluva/5454518</v>
      </c>
      <c r="E23" s="6" t="s">
        <v>98</v>
      </c>
      <c r="F23" s="21" t="s">
        <v>75</v>
      </c>
      <c r="G23" s="45" t="s">
        <v>119</v>
      </c>
      <c r="H23" s="22">
        <v>14240</v>
      </c>
      <c r="I23" s="9">
        <v>2</v>
      </c>
      <c r="J23" s="22">
        <f t="shared" si="1"/>
        <v>28480</v>
      </c>
      <c r="K23" s="9">
        <f t="array" ref="K23">QUARTILE(IF($F$3:$F$1460=$F23,$H$3:$H$1460),1)</f>
        <v>7209.15</v>
      </c>
      <c r="L23" s="9">
        <f t="array" ref="L23">QUARTILE(IF($F$3:$F$1460=$F23,$H$3:$H$1460),2)</f>
        <v>15534.78</v>
      </c>
      <c r="M23" s="9">
        <f t="array" ref="M23">QUARTILE(IF($F$3:$F$1460=$F23,$H$3:$H$1460),3)</f>
        <v>29950.799999999999</v>
      </c>
    </row>
    <row r="24" spans="1:13" x14ac:dyDescent="0.25">
      <c r="A24" s="7">
        <v>22</v>
      </c>
      <c r="B24" s="6" t="s">
        <v>97</v>
      </c>
      <c r="C24" s="7">
        <v>5454518</v>
      </c>
      <c r="D24" s="20" t="str">
        <f t="shared" si="0"/>
        <v>https://crz.gov.sk/zmluva/5454518</v>
      </c>
      <c r="E24" s="6" t="s">
        <v>98</v>
      </c>
      <c r="F24" s="21" t="s">
        <v>75</v>
      </c>
      <c r="G24" s="45" t="s">
        <v>120</v>
      </c>
      <c r="H24" s="22">
        <v>17380</v>
      </c>
      <c r="I24" s="9">
        <v>2</v>
      </c>
      <c r="J24" s="22">
        <f t="shared" si="1"/>
        <v>34760</v>
      </c>
      <c r="K24" s="9">
        <f t="array" ref="K24">QUARTILE(IF($F$3:$F$1460=$F24,$H$3:$H$1460),1)</f>
        <v>7209.15</v>
      </c>
      <c r="L24" s="9">
        <f t="array" ref="L24">QUARTILE(IF($F$3:$F$1460=$F24,$H$3:$H$1460),2)</f>
        <v>15534.78</v>
      </c>
      <c r="M24" s="9">
        <f t="array" ref="M24">QUARTILE(IF($F$3:$F$1460=$F24,$H$3:$H$1460),3)</f>
        <v>29950.799999999999</v>
      </c>
    </row>
    <row r="25" spans="1:13" x14ac:dyDescent="0.25">
      <c r="A25" s="7">
        <v>23</v>
      </c>
      <c r="B25" s="6" t="s">
        <v>97</v>
      </c>
      <c r="C25" s="7">
        <v>5454518</v>
      </c>
      <c r="D25" s="20" t="str">
        <f t="shared" si="0"/>
        <v>https://crz.gov.sk/zmluva/5454518</v>
      </c>
      <c r="E25" s="6" t="s">
        <v>98</v>
      </c>
      <c r="F25" s="21" t="s">
        <v>75</v>
      </c>
      <c r="G25" s="45" t="s">
        <v>121</v>
      </c>
      <c r="H25" s="22">
        <v>13570</v>
      </c>
      <c r="I25" s="9">
        <v>1</v>
      </c>
      <c r="J25" s="22">
        <f t="shared" si="1"/>
        <v>13570</v>
      </c>
      <c r="K25" s="9">
        <f t="array" ref="K25">QUARTILE(IF($F$3:$F$1460=$F25,$H$3:$H$1460),1)</f>
        <v>7209.15</v>
      </c>
      <c r="L25" s="9">
        <f t="array" ref="L25">QUARTILE(IF($F$3:$F$1460=$F25,$H$3:$H$1460),2)</f>
        <v>15534.78</v>
      </c>
      <c r="M25" s="9">
        <f t="array" ref="M25">QUARTILE(IF($F$3:$F$1460=$F25,$H$3:$H$1460),3)</f>
        <v>29950.799999999999</v>
      </c>
    </row>
    <row r="26" spans="1:13" x14ac:dyDescent="0.25">
      <c r="A26" s="7">
        <v>24</v>
      </c>
      <c r="B26" s="6" t="s">
        <v>97</v>
      </c>
      <c r="C26" s="7">
        <v>5454518</v>
      </c>
      <c r="D26" s="20" t="str">
        <f t="shared" si="0"/>
        <v>https://crz.gov.sk/zmluva/5454518</v>
      </c>
      <c r="E26" s="6" t="s">
        <v>98</v>
      </c>
      <c r="F26" s="21" t="s">
        <v>75</v>
      </c>
      <c r="G26" s="45" t="s">
        <v>122</v>
      </c>
      <c r="H26" s="22">
        <v>62900</v>
      </c>
      <c r="I26" s="9">
        <v>1</v>
      </c>
      <c r="J26" s="22">
        <f t="shared" si="1"/>
        <v>62900</v>
      </c>
      <c r="K26" s="9">
        <f t="array" ref="K26">QUARTILE(IF($F$3:$F$1460=$F26,$H$3:$H$1460),1)</f>
        <v>7209.15</v>
      </c>
      <c r="L26" s="9">
        <f t="array" ref="L26">QUARTILE(IF($F$3:$F$1460=$F26,$H$3:$H$1460),2)</f>
        <v>15534.78</v>
      </c>
      <c r="M26" s="9">
        <f t="array" ref="M26">QUARTILE(IF($F$3:$F$1460=$F26,$H$3:$H$1460),3)</f>
        <v>29950.799999999999</v>
      </c>
    </row>
    <row r="27" spans="1:13" x14ac:dyDescent="0.25">
      <c r="A27" s="7">
        <v>25</v>
      </c>
      <c r="B27" s="6" t="s">
        <v>97</v>
      </c>
      <c r="C27" s="7">
        <v>5454518</v>
      </c>
      <c r="D27" s="20" t="str">
        <f t="shared" si="0"/>
        <v>https://crz.gov.sk/zmluva/5454518</v>
      </c>
      <c r="E27" s="6" t="s">
        <v>98</v>
      </c>
      <c r="F27" s="21" t="s">
        <v>17</v>
      </c>
      <c r="G27" s="45" t="s">
        <v>123</v>
      </c>
      <c r="H27" s="22">
        <v>38190</v>
      </c>
      <c r="I27" s="9">
        <v>1</v>
      </c>
      <c r="J27" s="22">
        <f t="shared" si="1"/>
        <v>38190</v>
      </c>
      <c r="K27" s="9">
        <f t="array" ref="K27">QUARTILE(IF($F$3:$F$1460=$F27,$H$3:$H$1460),1)</f>
        <v>17.549999999999997</v>
      </c>
      <c r="L27" s="9">
        <f t="array" ref="L27">QUARTILE(IF($F$3:$F$1460=$F27,$H$3:$H$1460),2)</f>
        <v>275.8</v>
      </c>
      <c r="M27" s="9">
        <f t="array" ref="M27">QUARTILE(IF($F$3:$F$1460=$F27,$H$3:$H$1460),3)</f>
        <v>11191.057499999999</v>
      </c>
    </row>
    <row r="28" spans="1:13" x14ac:dyDescent="0.25">
      <c r="A28" s="7">
        <v>26</v>
      </c>
      <c r="B28" s="6" t="s">
        <v>97</v>
      </c>
      <c r="C28" s="7">
        <v>5454518</v>
      </c>
      <c r="D28" s="20" t="str">
        <f t="shared" si="0"/>
        <v>https://crz.gov.sk/zmluva/5454518</v>
      </c>
      <c r="E28" s="6" t="s">
        <v>98</v>
      </c>
      <c r="F28" s="21" t="s">
        <v>75</v>
      </c>
      <c r="G28" s="45" t="s">
        <v>124</v>
      </c>
      <c r="H28" s="22">
        <v>129440</v>
      </c>
      <c r="I28" s="9">
        <v>16</v>
      </c>
      <c r="J28" s="22">
        <f t="shared" si="1"/>
        <v>2071040</v>
      </c>
      <c r="K28" s="9">
        <f t="array" ref="K28">QUARTILE(IF($F$3:$F$1460=$F28,$H$3:$H$1460),1)</f>
        <v>7209.15</v>
      </c>
      <c r="L28" s="9">
        <f t="array" ref="L28">QUARTILE(IF($F$3:$F$1460=$F28,$H$3:$H$1460),2)</f>
        <v>15534.78</v>
      </c>
      <c r="M28" s="9">
        <f t="array" ref="M28">QUARTILE(IF($F$3:$F$1460=$F28,$H$3:$H$1460),3)</f>
        <v>29950.799999999999</v>
      </c>
    </row>
    <row r="29" spans="1:13" x14ac:dyDescent="0.25">
      <c r="A29" s="7">
        <v>27</v>
      </c>
      <c r="B29" s="6" t="s">
        <v>97</v>
      </c>
      <c r="C29" s="7">
        <v>5454518</v>
      </c>
      <c r="D29" s="20" t="str">
        <f t="shared" si="0"/>
        <v>https://crz.gov.sk/zmluva/5454518</v>
      </c>
      <c r="E29" s="6" t="s">
        <v>98</v>
      </c>
      <c r="F29" s="21" t="s">
        <v>68</v>
      </c>
      <c r="G29" s="45" t="s">
        <v>125</v>
      </c>
      <c r="H29" s="22">
        <v>11850</v>
      </c>
      <c r="I29" s="9">
        <v>1</v>
      </c>
      <c r="J29" s="22">
        <f t="shared" si="1"/>
        <v>11850</v>
      </c>
      <c r="K29" s="9">
        <f t="array" ref="K29">QUARTILE(IF($F$3:$F$1460=$F29,$H$3:$H$1460),1)</f>
        <v>2032</v>
      </c>
      <c r="L29" s="9">
        <f t="array" ref="L29">QUARTILE(IF($F$3:$F$1460=$F29,$H$3:$H$1460),2)</f>
        <v>19360</v>
      </c>
      <c r="M29" s="9">
        <f t="array" ref="M29">QUARTILE(IF($F$3:$F$1460=$F29,$H$3:$H$1460),3)</f>
        <v>87628.37</v>
      </c>
    </row>
    <row r="30" spans="1:13" x14ac:dyDescent="0.25">
      <c r="A30" s="7">
        <v>28</v>
      </c>
      <c r="B30" s="6" t="s">
        <v>97</v>
      </c>
      <c r="C30" s="7">
        <v>5454518</v>
      </c>
      <c r="D30" s="20" t="str">
        <f t="shared" si="0"/>
        <v>https://crz.gov.sk/zmluva/5454518</v>
      </c>
      <c r="E30" s="6" t="s">
        <v>98</v>
      </c>
      <c r="F30" s="21" t="s">
        <v>68</v>
      </c>
      <c r="G30" s="45" t="s">
        <v>126</v>
      </c>
      <c r="H30" s="22">
        <v>19360</v>
      </c>
      <c r="I30" s="9">
        <v>1</v>
      </c>
      <c r="J30" s="22">
        <f t="shared" si="1"/>
        <v>19360</v>
      </c>
      <c r="K30" s="9">
        <f t="array" ref="K30">QUARTILE(IF($F$3:$F$1460=$F30,$H$3:$H$1460),1)</f>
        <v>2032</v>
      </c>
      <c r="L30" s="9">
        <f t="array" ref="L30">QUARTILE(IF($F$3:$F$1460=$F30,$H$3:$H$1460),2)</f>
        <v>19360</v>
      </c>
      <c r="M30" s="9">
        <f t="array" ref="M30">QUARTILE(IF($F$3:$F$1460=$F30,$H$3:$H$1460),3)</f>
        <v>87628.37</v>
      </c>
    </row>
    <row r="31" spans="1:13" x14ac:dyDescent="0.25">
      <c r="A31" s="7">
        <v>29</v>
      </c>
      <c r="B31" s="6" t="s">
        <v>97</v>
      </c>
      <c r="C31" s="7">
        <v>5454518</v>
      </c>
      <c r="D31" s="20" t="str">
        <f t="shared" si="0"/>
        <v>https://crz.gov.sk/zmluva/5454518</v>
      </c>
      <c r="E31" s="6" t="s">
        <v>98</v>
      </c>
      <c r="F31" s="21" t="s">
        <v>39</v>
      </c>
      <c r="G31" s="45" t="s">
        <v>127</v>
      </c>
      <c r="H31" s="22">
        <v>1122.33</v>
      </c>
      <c r="I31" s="9">
        <v>1</v>
      </c>
      <c r="J31" s="22">
        <f t="shared" si="1"/>
        <v>1122.33</v>
      </c>
      <c r="K31" s="9">
        <f t="array" ref="K31">QUARTILE(IF($F$3:$F$1460=$F31,$H$3:$H$1460),1)</f>
        <v>98.7</v>
      </c>
      <c r="L31" s="9">
        <f t="array" ref="L31">QUARTILE(IF($F$3:$F$1460=$F31,$H$3:$H$1460),2)</f>
        <v>172.56</v>
      </c>
      <c r="M31" s="9">
        <f t="array" ref="M31">QUARTILE(IF($F$3:$F$1460=$F31,$H$3:$H$1460),3)</f>
        <v>2312.5</v>
      </c>
    </row>
    <row r="32" spans="1:13" x14ac:dyDescent="0.25">
      <c r="A32" s="7">
        <v>30</v>
      </c>
      <c r="B32" s="6" t="s">
        <v>97</v>
      </c>
      <c r="C32" s="7">
        <v>5454518</v>
      </c>
      <c r="D32" s="20" t="str">
        <f t="shared" si="0"/>
        <v>https://crz.gov.sk/zmluva/5454518</v>
      </c>
      <c r="E32" s="6" t="s">
        <v>98</v>
      </c>
      <c r="F32" s="21" t="s">
        <v>32</v>
      </c>
      <c r="G32" s="45" t="s">
        <v>128</v>
      </c>
      <c r="H32" s="22">
        <v>4316</v>
      </c>
      <c r="I32" s="9">
        <v>2</v>
      </c>
      <c r="J32" s="22">
        <f t="shared" si="1"/>
        <v>8632</v>
      </c>
      <c r="K32" s="9">
        <f t="array" ref="K32">QUARTILE(IF($F$3:$F$1460=$F32,$H$3:$H$1460),1)</f>
        <v>59.227499999999999</v>
      </c>
      <c r="L32" s="9">
        <f t="array" ref="L32">QUARTILE(IF($F$3:$F$1460=$F32,$H$3:$H$1460),2)</f>
        <v>332.14</v>
      </c>
      <c r="M32" s="9">
        <f t="array" ref="M32">QUARTILE(IF($F$3:$F$1460=$F32,$H$3:$H$1460),3)</f>
        <v>1331.8050000000001</v>
      </c>
    </row>
    <row r="33" spans="1:13" x14ac:dyDescent="0.25">
      <c r="A33" s="7">
        <v>31</v>
      </c>
      <c r="B33" s="6" t="s">
        <v>97</v>
      </c>
      <c r="C33" s="7">
        <v>5454518</v>
      </c>
      <c r="D33" s="20" t="str">
        <f t="shared" si="0"/>
        <v>https://crz.gov.sk/zmluva/5454518</v>
      </c>
      <c r="E33" s="6" t="s">
        <v>98</v>
      </c>
      <c r="F33" s="21" t="s">
        <v>32</v>
      </c>
      <c r="G33" s="45" t="s">
        <v>129</v>
      </c>
      <c r="H33" s="22">
        <v>3830</v>
      </c>
      <c r="I33" s="9">
        <v>3</v>
      </c>
      <c r="J33" s="22">
        <f t="shared" si="1"/>
        <v>11490</v>
      </c>
      <c r="K33" s="9">
        <f t="array" ref="K33">QUARTILE(IF($F$3:$F$1460=$F33,$H$3:$H$1460),1)</f>
        <v>59.227499999999999</v>
      </c>
      <c r="L33" s="9">
        <f t="array" ref="L33">QUARTILE(IF($F$3:$F$1460=$F33,$H$3:$H$1460),2)</f>
        <v>332.14</v>
      </c>
      <c r="M33" s="9">
        <f t="array" ref="M33">QUARTILE(IF($F$3:$F$1460=$F33,$H$3:$H$1460),3)</f>
        <v>1331.8050000000001</v>
      </c>
    </row>
    <row r="34" spans="1:13" x14ac:dyDescent="0.25">
      <c r="A34" s="7">
        <v>32</v>
      </c>
      <c r="B34" s="6" t="s">
        <v>130</v>
      </c>
      <c r="C34" s="7">
        <v>4185749</v>
      </c>
      <c r="D34" s="23" t="s">
        <v>131</v>
      </c>
      <c r="E34" s="6" t="s">
        <v>132</v>
      </c>
      <c r="F34" s="21" t="s">
        <v>62</v>
      </c>
      <c r="G34" s="6" t="s">
        <v>133</v>
      </c>
      <c r="H34" s="22">
        <v>783.8</v>
      </c>
      <c r="I34" s="9">
        <v>30</v>
      </c>
      <c r="J34" s="22">
        <f t="shared" si="1"/>
        <v>23514</v>
      </c>
      <c r="K34" s="9">
        <f t="array" ref="K34">QUARTILE(IF($F$3:$F$1460=$F34,$H$3:$H$1460),1)</f>
        <v>783.15</v>
      </c>
      <c r="L34" s="9">
        <f t="array" ref="L34">QUARTILE(IF($F$3:$F$1460=$F34,$H$3:$H$1460),2)</f>
        <v>1196.3</v>
      </c>
      <c r="M34" s="9">
        <f t="array" ref="M34">QUARTILE(IF($F$3:$F$1460=$F34,$H$3:$H$1460),3)</f>
        <v>1455.5</v>
      </c>
    </row>
    <row r="35" spans="1:13" x14ac:dyDescent="0.25">
      <c r="A35" s="7">
        <v>33</v>
      </c>
      <c r="B35" s="6" t="s">
        <v>130</v>
      </c>
      <c r="C35" s="7">
        <v>4185749</v>
      </c>
      <c r="D35" s="23" t="s">
        <v>131</v>
      </c>
      <c r="E35" s="6" t="s">
        <v>132</v>
      </c>
      <c r="F35" s="21" t="s">
        <v>62</v>
      </c>
      <c r="G35" s="6" t="s">
        <v>134</v>
      </c>
      <c r="H35" s="22">
        <v>1279.5999999999999</v>
      </c>
      <c r="I35" s="9">
        <v>15</v>
      </c>
      <c r="J35" s="22">
        <f t="shared" si="1"/>
        <v>19194</v>
      </c>
      <c r="K35" s="9">
        <f t="array" ref="K35">QUARTILE(IF($F$3:$F$1460=$F35,$H$3:$H$1460),1)</f>
        <v>783.15</v>
      </c>
      <c r="L35" s="9">
        <f t="array" ref="L35">QUARTILE(IF($F$3:$F$1460=$F35,$H$3:$H$1460),2)</f>
        <v>1196.3</v>
      </c>
      <c r="M35" s="9">
        <f t="array" ref="M35">QUARTILE(IF($F$3:$F$1460=$F35,$H$3:$H$1460),3)</f>
        <v>1455.5</v>
      </c>
    </row>
    <row r="36" spans="1:13" x14ac:dyDescent="0.25">
      <c r="A36" s="7">
        <v>34</v>
      </c>
      <c r="B36" s="6" t="s">
        <v>130</v>
      </c>
      <c r="C36" s="7">
        <v>4185749</v>
      </c>
      <c r="D36" s="23" t="s">
        <v>131</v>
      </c>
      <c r="E36" s="6" t="s">
        <v>132</v>
      </c>
      <c r="F36" s="21" t="s">
        <v>62</v>
      </c>
      <c r="G36" s="6" t="s">
        <v>135</v>
      </c>
      <c r="H36" s="22">
        <v>700.5</v>
      </c>
      <c r="I36" s="9">
        <v>30</v>
      </c>
      <c r="J36" s="22">
        <f t="shared" si="1"/>
        <v>21015</v>
      </c>
      <c r="K36" s="9">
        <f t="array" ref="K36">QUARTILE(IF($F$3:$F$1460=$F36,$H$3:$H$1460),1)</f>
        <v>783.15</v>
      </c>
      <c r="L36" s="9">
        <f t="array" ref="L36">QUARTILE(IF($F$3:$F$1460=$F36,$H$3:$H$1460),2)</f>
        <v>1196.3</v>
      </c>
      <c r="M36" s="9">
        <f t="array" ref="M36">QUARTILE(IF($F$3:$F$1460=$F36,$H$3:$H$1460),3)</f>
        <v>1455.5</v>
      </c>
    </row>
    <row r="37" spans="1:13" x14ac:dyDescent="0.25">
      <c r="A37" s="7">
        <v>35</v>
      </c>
      <c r="B37" s="6" t="s">
        <v>130</v>
      </c>
      <c r="C37" s="7">
        <v>4185749</v>
      </c>
      <c r="D37" s="23" t="s">
        <v>131</v>
      </c>
      <c r="E37" s="6" t="s">
        <v>132</v>
      </c>
      <c r="F37" s="21" t="s">
        <v>62</v>
      </c>
      <c r="G37" s="6" t="s">
        <v>136</v>
      </c>
      <c r="H37" s="22">
        <v>803.2</v>
      </c>
      <c r="I37" s="9">
        <v>18</v>
      </c>
      <c r="J37" s="22">
        <f t="shared" si="1"/>
        <v>14457.6</v>
      </c>
      <c r="K37" s="9">
        <f t="array" ref="K37">QUARTILE(IF($F$3:$F$1460=$F37,$H$3:$H$1460),1)</f>
        <v>783.15</v>
      </c>
      <c r="L37" s="9">
        <f t="array" ref="L37">QUARTILE(IF($F$3:$F$1460=$F37,$H$3:$H$1460),2)</f>
        <v>1196.3</v>
      </c>
      <c r="M37" s="9">
        <f t="array" ref="M37">QUARTILE(IF($F$3:$F$1460=$F37,$H$3:$H$1460),3)</f>
        <v>1455.5</v>
      </c>
    </row>
    <row r="38" spans="1:13" x14ac:dyDescent="0.25">
      <c r="A38" s="7">
        <v>36</v>
      </c>
      <c r="B38" s="6" t="s">
        <v>130</v>
      </c>
      <c r="C38" s="7">
        <v>4185749</v>
      </c>
      <c r="D38" s="23" t="s">
        <v>131</v>
      </c>
      <c r="E38" s="6" t="s">
        <v>132</v>
      </c>
      <c r="F38" s="21" t="s">
        <v>62</v>
      </c>
      <c r="G38" s="6" t="s">
        <v>137</v>
      </c>
      <c r="H38" s="22">
        <v>1290.9000000000001</v>
      </c>
      <c r="I38" s="9">
        <v>10</v>
      </c>
      <c r="J38" s="22">
        <f t="shared" si="1"/>
        <v>12909</v>
      </c>
      <c r="K38" s="9">
        <f t="array" ref="K38">QUARTILE(IF($F$3:$F$1460=$F38,$H$3:$H$1460),1)</f>
        <v>783.15</v>
      </c>
      <c r="L38" s="9">
        <f t="array" ref="L38">QUARTILE(IF($F$3:$F$1460=$F38,$H$3:$H$1460),2)</f>
        <v>1196.3</v>
      </c>
      <c r="M38" s="9">
        <f t="array" ref="M38">QUARTILE(IF($F$3:$F$1460=$F38,$H$3:$H$1460),3)</f>
        <v>1455.5</v>
      </c>
    </row>
    <row r="39" spans="1:13" x14ac:dyDescent="0.25">
      <c r="A39" s="7">
        <v>37</v>
      </c>
      <c r="B39" s="6" t="s">
        <v>130</v>
      </c>
      <c r="C39" s="7">
        <v>4185749</v>
      </c>
      <c r="D39" s="23" t="s">
        <v>131</v>
      </c>
      <c r="E39" s="6" t="s">
        <v>132</v>
      </c>
      <c r="F39" s="21" t="s">
        <v>62</v>
      </c>
      <c r="G39" s="6" t="s">
        <v>138</v>
      </c>
      <c r="H39" s="22">
        <v>672.8</v>
      </c>
      <c r="I39" s="9">
        <v>25</v>
      </c>
      <c r="J39" s="22">
        <f t="shared" si="1"/>
        <v>16820</v>
      </c>
      <c r="K39" s="9">
        <f t="array" ref="K39">QUARTILE(IF($F$3:$F$1460=$F39,$H$3:$H$1460),1)</f>
        <v>783.15</v>
      </c>
      <c r="L39" s="9">
        <f t="array" ref="L39">QUARTILE(IF($F$3:$F$1460=$F39,$H$3:$H$1460),2)</f>
        <v>1196.3</v>
      </c>
      <c r="M39" s="9">
        <f t="array" ref="M39">QUARTILE(IF($F$3:$F$1460=$F39,$H$3:$H$1460),3)</f>
        <v>1455.5</v>
      </c>
    </row>
    <row r="40" spans="1:13" x14ac:dyDescent="0.25">
      <c r="A40" s="7">
        <v>38</v>
      </c>
      <c r="B40" s="6" t="s">
        <v>130</v>
      </c>
      <c r="C40" s="7">
        <v>4185749</v>
      </c>
      <c r="D40" s="23" t="s">
        <v>131</v>
      </c>
      <c r="E40" s="6" t="s">
        <v>132</v>
      </c>
      <c r="F40" s="21" t="s">
        <v>62</v>
      </c>
      <c r="G40" s="6" t="s">
        <v>139</v>
      </c>
      <c r="H40" s="22">
        <v>752.6</v>
      </c>
      <c r="I40" s="9">
        <v>10</v>
      </c>
      <c r="J40" s="22">
        <f t="shared" si="1"/>
        <v>7526</v>
      </c>
      <c r="K40" s="9">
        <f t="array" ref="K40">QUARTILE(IF($F$3:$F$1460=$F40,$H$3:$H$1460),1)</f>
        <v>783.15</v>
      </c>
      <c r="L40" s="9">
        <f t="array" ref="L40">QUARTILE(IF($F$3:$F$1460=$F40,$H$3:$H$1460),2)</f>
        <v>1196.3</v>
      </c>
      <c r="M40" s="9">
        <f t="array" ref="M40">QUARTILE(IF($F$3:$F$1460=$F40,$H$3:$H$1460),3)</f>
        <v>1455.5</v>
      </c>
    </row>
    <row r="41" spans="1:13" x14ac:dyDescent="0.25">
      <c r="A41" s="7">
        <v>39</v>
      </c>
      <c r="B41" s="6" t="s">
        <v>130</v>
      </c>
      <c r="C41" s="7">
        <v>4185749</v>
      </c>
      <c r="D41" s="23" t="s">
        <v>131</v>
      </c>
      <c r="E41" s="6" t="s">
        <v>132</v>
      </c>
      <c r="F41" s="21" t="s">
        <v>62</v>
      </c>
      <c r="G41" s="6" t="s">
        <v>140</v>
      </c>
      <c r="H41" s="22">
        <v>848.1</v>
      </c>
      <c r="I41" s="9">
        <v>10</v>
      </c>
      <c r="J41" s="22">
        <f t="shared" si="1"/>
        <v>8481</v>
      </c>
      <c r="K41" s="9">
        <f t="array" ref="K41">QUARTILE(IF($F$3:$F$1460=$F41,$H$3:$H$1460),1)</f>
        <v>783.15</v>
      </c>
      <c r="L41" s="9">
        <f t="array" ref="L41">QUARTILE(IF($F$3:$F$1460=$F41,$H$3:$H$1460),2)</f>
        <v>1196.3</v>
      </c>
      <c r="M41" s="9">
        <f t="array" ref="M41">QUARTILE(IF($F$3:$F$1460=$F41,$H$3:$H$1460),3)</f>
        <v>1455.5</v>
      </c>
    </row>
    <row r="42" spans="1:13" x14ac:dyDescent="0.25">
      <c r="A42" s="7">
        <v>40</v>
      </c>
      <c r="B42" s="6" t="s">
        <v>130</v>
      </c>
      <c r="C42" s="7">
        <v>4185749</v>
      </c>
      <c r="D42" s="23" t="s">
        <v>131</v>
      </c>
      <c r="E42" s="6" t="s">
        <v>132</v>
      </c>
      <c r="F42" s="21" t="s">
        <v>62</v>
      </c>
      <c r="G42" s="6" t="s">
        <v>141</v>
      </c>
      <c r="H42" s="22">
        <v>1437.8</v>
      </c>
      <c r="I42" s="9">
        <v>3</v>
      </c>
      <c r="J42" s="22">
        <f t="shared" si="1"/>
        <v>4313.3999999999996</v>
      </c>
      <c r="K42" s="9">
        <f t="array" ref="K42">QUARTILE(IF($F$3:$F$1460=$F42,$H$3:$H$1460),1)</f>
        <v>783.15</v>
      </c>
      <c r="L42" s="9">
        <f t="array" ref="L42">QUARTILE(IF($F$3:$F$1460=$F42,$H$3:$H$1460),2)</f>
        <v>1196.3</v>
      </c>
      <c r="M42" s="9">
        <f t="array" ref="M42">QUARTILE(IF($F$3:$F$1460=$F42,$H$3:$H$1460),3)</f>
        <v>1455.5</v>
      </c>
    </row>
    <row r="43" spans="1:13" x14ac:dyDescent="0.25">
      <c r="A43" s="7">
        <v>41</v>
      </c>
      <c r="B43" s="6" t="s">
        <v>130</v>
      </c>
      <c r="C43" s="7">
        <v>4185749</v>
      </c>
      <c r="D43" s="23" t="s">
        <v>131</v>
      </c>
      <c r="E43" s="6" t="s">
        <v>132</v>
      </c>
      <c r="F43" s="21" t="s">
        <v>62</v>
      </c>
      <c r="G43" s="6" t="s">
        <v>142</v>
      </c>
      <c r="H43" s="22">
        <v>1852.2</v>
      </c>
      <c r="I43" s="9">
        <v>3</v>
      </c>
      <c r="J43" s="22">
        <f t="shared" si="1"/>
        <v>5556.6</v>
      </c>
      <c r="K43" s="9">
        <f t="array" ref="K43">QUARTILE(IF($F$3:$F$1460=$F43,$H$3:$H$1460),1)</f>
        <v>783.15</v>
      </c>
      <c r="L43" s="9">
        <f t="array" ref="L43">QUARTILE(IF($F$3:$F$1460=$F43,$H$3:$H$1460),2)</f>
        <v>1196.3</v>
      </c>
      <c r="M43" s="9">
        <f t="array" ref="M43">QUARTILE(IF($F$3:$F$1460=$F43,$H$3:$H$1460),3)</f>
        <v>1455.5</v>
      </c>
    </row>
    <row r="44" spans="1:13" ht="19.5" customHeight="1" x14ac:dyDescent="0.25">
      <c r="A44" s="7">
        <v>42</v>
      </c>
      <c r="B44" s="6" t="s">
        <v>130</v>
      </c>
      <c r="C44" s="7">
        <v>4185749</v>
      </c>
      <c r="D44" s="23" t="s">
        <v>131</v>
      </c>
      <c r="E44" s="6" t="s">
        <v>132</v>
      </c>
      <c r="F44" s="21" t="s">
        <v>62</v>
      </c>
      <c r="G44" s="6" t="s">
        <v>143</v>
      </c>
      <c r="H44" s="22">
        <v>2500.8000000000002</v>
      </c>
      <c r="I44" s="9">
        <v>3</v>
      </c>
      <c r="J44" s="22">
        <f t="shared" si="1"/>
        <v>7502.4000000000005</v>
      </c>
      <c r="K44" s="9">
        <f t="array" ref="K44">QUARTILE(IF($F$3:$F$1460=$F44,$H$3:$H$1460),1)</f>
        <v>783.15</v>
      </c>
      <c r="L44" s="9">
        <f t="array" ref="L44">QUARTILE(IF($F$3:$F$1460=$F44,$H$3:$H$1460),2)</f>
        <v>1196.3</v>
      </c>
      <c r="M44" s="9">
        <f t="array" ref="M44">QUARTILE(IF($F$3:$F$1460=$F44,$H$3:$H$1460),3)</f>
        <v>1455.5</v>
      </c>
    </row>
    <row r="45" spans="1:13" x14ac:dyDescent="0.25">
      <c r="A45" s="7">
        <v>43</v>
      </c>
      <c r="B45" s="6" t="s">
        <v>130</v>
      </c>
      <c r="C45" s="7">
        <v>4185749</v>
      </c>
      <c r="D45" s="23" t="s">
        <v>131</v>
      </c>
      <c r="E45" s="6" t="s">
        <v>132</v>
      </c>
      <c r="F45" s="21" t="s">
        <v>50</v>
      </c>
      <c r="G45" s="6" t="s">
        <v>144</v>
      </c>
      <c r="H45" s="22">
        <v>319.3</v>
      </c>
      <c r="I45" s="9">
        <v>10</v>
      </c>
      <c r="J45" s="22">
        <f t="shared" si="1"/>
        <v>3193</v>
      </c>
      <c r="K45" s="9">
        <f t="array" ref="K45">QUARTILE(IF($F$3:$F$1460=$F45,$H$3:$H$1460),1)</f>
        <v>307.64999999999998</v>
      </c>
      <c r="L45" s="9">
        <f t="array" ref="L45">QUARTILE(IF($F$3:$F$1460=$F45,$H$3:$H$1460),2)</f>
        <v>533.63</v>
      </c>
      <c r="M45" s="9">
        <f t="array" ref="M45">QUARTILE(IF($F$3:$F$1460=$F45,$H$3:$H$1460),3)</f>
        <v>761.32</v>
      </c>
    </row>
    <row r="46" spans="1:13" x14ac:dyDescent="0.25">
      <c r="A46" s="7">
        <v>44</v>
      </c>
      <c r="B46" s="6" t="s">
        <v>130</v>
      </c>
      <c r="C46" s="7">
        <v>4185749</v>
      </c>
      <c r="D46" s="23" t="s">
        <v>131</v>
      </c>
      <c r="E46" s="6" t="s">
        <v>132</v>
      </c>
      <c r="F46" s="21" t="s">
        <v>50</v>
      </c>
      <c r="G46" s="6" t="s">
        <v>145</v>
      </c>
      <c r="H46" s="22">
        <v>557.29999999999995</v>
      </c>
      <c r="I46" s="9">
        <v>5</v>
      </c>
      <c r="J46" s="22">
        <f t="shared" si="1"/>
        <v>2786.5</v>
      </c>
      <c r="K46" s="9">
        <f t="array" ref="K46">QUARTILE(IF($F$3:$F$1460=$F46,$H$3:$H$1460),1)</f>
        <v>307.64999999999998</v>
      </c>
      <c r="L46" s="9">
        <f t="array" ref="L46">QUARTILE(IF($F$3:$F$1460=$F46,$H$3:$H$1460),2)</f>
        <v>533.63</v>
      </c>
      <c r="M46" s="9">
        <f t="array" ref="M46">QUARTILE(IF($F$3:$F$1460=$F46,$H$3:$H$1460),3)</f>
        <v>761.32</v>
      </c>
    </row>
    <row r="47" spans="1:13" x14ac:dyDescent="0.25">
      <c r="A47" s="7">
        <v>45</v>
      </c>
      <c r="B47" s="6" t="s">
        <v>130</v>
      </c>
      <c r="C47" s="7">
        <v>4185749</v>
      </c>
      <c r="D47" s="23" t="s">
        <v>131</v>
      </c>
      <c r="E47" s="6" t="s">
        <v>132</v>
      </c>
      <c r="F47" s="21" t="s">
        <v>50</v>
      </c>
      <c r="G47" s="6" t="s">
        <v>146</v>
      </c>
      <c r="H47" s="22">
        <v>539.29999999999995</v>
      </c>
      <c r="I47" s="9">
        <v>5</v>
      </c>
      <c r="J47" s="22">
        <f t="shared" si="1"/>
        <v>2696.5</v>
      </c>
      <c r="K47" s="9">
        <f t="array" ref="K47">QUARTILE(IF($F$3:$F$1460=$F47,$H$3:$H$1460),1)</f>
        <v>307.64999999999998</v>
      </c>
      <c r="L47" s="9">
        <f t="array" ref="L47">QUARTILE(IF($F$3:$F$1460=$F47,$H$3:$H$1460),2)</f>
        <v>533.63</v>
      </c>
      <c r="M47" s="9">
        <f t="array" ref="M47">QUARTILE(IF($F$3:$F$1460=$F47,$H$3:$H$1460),3)</f>
        <v>761.32</v>
      </c>
    </row>
    <row r="48" spans="1:13" x14ac:dyDescent="0.25">
      <c r="A48" s="7">
        <v>46</v>
      </c>
      <c r="B48" s="6" t="s">
        <v>130</v>
      </c>
      <c r="C48" s="7">
        <v>4185749</v>
      </c>
      <c r="D48" s="23" t="s">
        <v>131</v>
      </c>
      <c r="E48" s="6" t="s">
        <v>132</v>
      </c>
      <c r="F48" s="21" t="s">
        <v>50</v>
      </c>
      <c r="G48" s="6" t="s">
        <v>147</v>
      </c>
      <c r="H48" s="22">
        <v>813.5</v>
      </c>
      <c r="I48" s="9">
        <v>5</v>
      </c>
      <c r="J48" s="22">
        <f t="shared" si="1"/>
        <v>4067.5</v>
      </c>
      <c r="K48" s="9">
        <f t="array" ref="K48">QUARTILE(IF($F$3:$F$1460=$F48,$H$3:$H$1460),1)</f>
        <v>307.64999999999998</v>
      </c>
      <c r="L48" s="9">
        <f t="array" ref="L48">QUARTILE(IF($F$3:$F$1460=$F48,$H$3:$H$1460),2)</f>
        <v>533.63</v>
      </c>
      <c r="M48" s="9">
        <f t="array" ref="M48">QUARTILE(IF($F$3:$F$1460=$F48,$H$3:$H$1460),3)</f>
        <v>761.32</v>
      </c>
    </row>
    <row r="49" spans="1:13" x14ac:dyDescent="0.25">
      <c r="A49" s="7">
        <v>47</v>
      </c>
      <c r="B49" s="6" t="s">
        <v>130</v>
      </c>
      <c r="C49" s="7">
        <v>4185749</v>
      </c>
      <c r="D49" s="23" t="s">
        <v>131</v>
      </c>
      <c r="E49" s="6" t="s">
        <v>132</v>
      </c>
      <c r="F49" s="21" t="s">
        <v>60</v>
      </c>
      <c r="G49" s="45" t="s">
        <v>148</v>
      </c>
      <c r="H49" s="22">
        <v>622</v>
      </c>
      <c r="I49" s="9">
        <v>30</v>
      </c>
      <c r="J49" s="22">
        <f t="shared" si="1"/>
        <v>18660</v>
      </c>
      <c r="K49" s="9">
        <f t="array" ref="K49">QUARTILE(IF($F$3:$F$1460=$F49,$H$3:$H$1460),1)</f>
        <v>680</v>
      </c>
      <c r="L49" s="9">
        <f t="array" ref="L49">QUARTILE(IF($F$3:$F$1460=$F49,$H$3:$H$1460),2)</f>
        <v>991</v>
      </c>
      <c r="M49" s="9">
        <f t="array" ref="M49">QUARTILE(IF($F$3:$F$1460=$F49,$H$3:$H$1460),3)</f>
        <v>1485.8333333333335</v>
      </c>
    </row>
    <row r="50" spans="1:13" x14ac:dyDescent="0.25">
      <c r="A50" s="7">
        <v>48</v>
      </c>
      <c r="B50" s="6" t="s">
        <v>130</v>
      </c>
      <c r="C50" s="7">
        <v>4185749</v>
      </c>
      <c r="D50" s="23" t="s">
        <v>131</v>
      </c>
      <c r="E50" s="6" t="s">
        <v>132</v>
      </c>
      <c r="F50" s="21" t="s">
        <v>60</v>
      </c>
      <c r="G50" s="45" t="s">
        <v>149</v>
      </c>
      <c r="H50" s="22">
        <v>618.6</v>
      </c>
      <c r="I50" s="9">
        <v>50</v>
      </c>
      <c r="J50" s="22">
        <f t="shared" si="1"/>
        <v>30930</v>
      </c>
      <c r="K50" s="9">
        <f t="array" ref="K50">QUARTILE(IF($F$3:$F$1460=$F50,$H$3:$H$1460),1)</f>
        <v>680</v>
      </c>
      <c r="L50" s="9">
        <f t="array" ref="L50">QUARTILE(IF($F$3:$F$1460=$F50,$H$3:$H$1460),2)</f>
        <v>991</v>
      </c>
      <c r="M50" s="9">
        <f t="array" ref="M50">QUARTILE(IF($F$3:$F$1460=$F50,$H$3:$H$1460),3)</f>
        <v>1485.8333333333335</v>
      </c>
    </row>
    <row r="51" spans="1:13" x14ac:dyDescent="0.25">
      <c r="A51" s="7">
        <v>49</v>
      </c>
      <c r="B51" s="6" t="s">
        <v>130</v>
      </c>
      <c r="C51" s="7">
        <v>4185749</v>
      </c>
      <c r="D51" s="23" t="s">
        <v>131</v>
      </c>
      <c r="E51" s="6" t="s">
        <v>132</v>
      </c>
      <c r="F51" s="21" t="s">
        <v>60</v>
      </c>
      <c r="G51" s="45" t="s">
        <v>150</v>
      </c>
      <c r="H51" s="22">
        <v>736.6</v>
      </c>
      <c r="I51" s="9">
        <v>30</v>
      </c>
      <c r="J51" s="22">
        <f t="shared" si="1"/>
        <v>22098</v>
      </c>
      <c r="K51" s="9">
        <f t="array" ref="K51">QUARTILE(IF($F$3:$F$1460=$F51,$H$3:$H$1460),1)</f>
        <v>680</v>
      </c>
      <c r="L51" s="9">
        <f t="array" ref="L51">QUARTILE(IF($F$3:$F$1460=$F51,$H$3:$H$1460),2)</f>
        <v>991</v>
      </c>
      <c r="M51" s="9">
        <f t="array" ref="M51">QUARTILE(IF($F$3:$F$1460=$F51,$H$3:$H$1460),3)</f>
        <v>1485.8333333333335</v>
      </c>
    </row>
    <row r="52" spans="1:13" x14ac:dyDescent="0.25">
      <c r="A52" s="7">
        <v>50</v>
      </c>
      <c r="B52" s="6" t="s">
        <v>130</v>
      </c>
      <c r="C52" s="7">
        <v>4185749</v>
      </c>
      <c r="D52" s="23" t="s">
        <v>131</v>
      </c>
      <c r="E52" s="6" t="s">
        <v>132</v>
      </c>
      <c r="F52" s="21" t="s">
        <v>60</v>
      </c>
      <c r="G52" s="45" t="s">
        <v>151</v>
      </c>
      <c r="H52" s="22">
        <v>948.8</v>
      </c>
      <c r="I52" s="9">
        <v>20</v>
      </c>
      <c r="J52" s="22">
        <f t="shared" si="1"/>
        <v>18976</v>
      </c>
      <c r="K52" s="9">
        <f t="array" ref="K52">QUARTILE(IF($F$3:$F$1460=$F52,$H$3:$H$1460),1)</f>
        <v>680</v>
      </c>
      <c r="L52" s="9">
        <f t="array" ref="L52">QUARTILE(IF($F$3:$F$1460=$F52,$H$3:$H$1460),2)</f>
        <v>991</v>
      </c>
      <c r="M52" s="9">
        <f t="array" ref="M52">QUARTILE(IF($F$3:$F$1460=$F52,$H$3:$H$1460),3)</f>
        <v>1485.8333333333335</v>
      </c>
    </row>
    <row r="53" spans="1:13" x14ac:dyDescent="0.25">
      <c r="A53" s="7">
        <v>51</v>
      </c>
      <c r="B53" s="6" t="s">
        <v>130</v>
      </c>
      <c r="C53" s="7">
        <v>4185749</v>
      </c>
      <c r="D53" s="23" t="s">
        <v>131</v>
      </c>
      <c r="E53" s="6" t="s">
        <v>132</v>
      </c>
      <c r="F53" s="21" t="s">
        <v>60</v>
      </c>
      <c r="G53" s="45" t="s">
        <v>152</v>
      </c>
      <c r="H53" s="22">
        <v>1072.4000000000001</v>
      </c>
      <c r="I53" s="9">
        <v>20</v>
      </c>
      <c r="J53" s="22">
        <f t="shared" si="1"/>
        <v>21448</v>
      </c>
      <c r="K53" s="9">
        <f t="array" ref="K53">QUARTILE(IF($F$3:$F$1460=$F53,$H$3:$H$1460),1)</f>
        <v>680</v>
      </c>
      <c r="L53" s="9">
        <f t="array" ref="L53">QUARTILE(IF($F$3:$F$1460=$F53,$H$3:$H$1460),2)</f>
        <v>991</v>
      </c>
      <c r="M53" s="9">
        <f t="array" ref="M53">QUARTILE(IF($F$3:$F$1460=$F53,$H$3:$H$1460),3)</f>
        <v>1485.8333333333335</v>
      </c>
    </row>
    <row r="54" spans="1:13" x14ac:dyDescent="0.25">
      <c r="A54" s="7">
        <v>52</v>
      </c>
      <c r="B54" s="6" t="s">
        <v>130</v>
      </c>
      <c r="C54" s="7">
        <v>4185749</v>
      </c>
      <c r="D54" s="23" t="s">
        <v>131</v>
      </c>
      <c r="E54" s="6" t="s">
        <v>132</v>
      </c>
      <c r="F54" s="21" t="s">
        <v>60</v>
      </c>
      <c r="G54" s="45" t="s">
        <v>153</v>
      </c>
      <c r="H54" s="22">
        <v>1151</v>
      </c>
      <c r="I54" s="9">
        <v>20</v>
      </c>
      <c r="J54" s="22">
        <f t="shared" si="1"/>
        <v>23020</v>
      </c>
      <c r="K54" s="9">
        <f t="array" ref="K54">QUARTILE(IF($F$3:$F$1460=$F54,$H$3:$H$1460),1)</f>
        <v>680</v>
      </c>
      <c r="L54" s="9">
        <f t="array" ref="L54">QUARTILE(IF($F$3:$F$1460=$F54,$H$3:$H$1460),2)</f>
        <v>991</v>
      </c>
      <c r="M54" s="9">
        <f t="array" ref="M54">QUARTILE(IF($F$3:$F$1460=$F54,$H$3:$H$1460),3)</f>
        <v>1485.8333333333335</v>
      </c>
    </row>
    <row r="55" spans="1:13" x14ac:dyDescent="0.25">
      <c r="A55" s="7">
        <v>53</v>
      </c>
      <c r="B55" s="6" t="s">
        <v>130</v>
      </c>
      <c r="C55" s="7">
        <v>4185749</v>
      </c>
      <c r="D55" s="23" t="s">
        <v>131</v>
      </c>
      <c r="E55" s="6" t="s">
        <v>132</v>
      </c>
      <c r="F55" s="21" t="s">
        <v>60</v>
      </c>
      <c r="G55" s="45" t="s">
        <v>154</v>
      </c>
      <c r="H55" s="22">
        <v>641.1</v>
      </c>
      <c r="I55" s="9">
        <v>20</v>
      </c>
      <c r="J55" s="22">
        <f t="shared" si="1"/>
        <v>12822</v>
      </c>
      <c r="K55" s="9">
        <f t="array" ref="K55">QUARTILE(IF($F$3:$F$1460=$F55,$H$3:$H$1460),1)</f>
        <v>680</v>
      </c>
      <c r="L55" s="9">
        <f t="array" ref="L55">QUARTILE(IF($F$3:$F$1460=$F55,$H$3:$H$1460),2)</f>
        <v>991</v>
      </c>
      <c r="M55" s="9">
        <f t="array" ref="M55">QUARTILE(IF($F$3:$F$1460=$F55,$H$3:$H$1460),3)</f>
        <v>1485.8333333333335</v>
      </c>
    </row>
    <row r="56" spans="1:13" x14ac:dyDescent="0.25">
      <c r="A56" s="7">
        <v>54</v>
      </c>
      <c r="B56" s="6" t="s">
        <v>130</v>
      </c>
      <c r="C56" s="7">
        <v>4185749</v>
      </c>
      <c r="D56" s="23" t="s">
        <v>131</v>
      </c>
      <c r="E56" s="6" t="s">
        <v>132</v>
      </c>
      <c r="F56" s="21" t="s">
        <v>60</v>
      </c>
      <c r="G56" s="45" t="s">
        <v>155</v>
      </c>
      <c r="H56" s="22">
        <v>742.2</v>
      </c>
      <c r="I56" s="9">
        <v>10</v>
      </c>
      <c r="J56" s="22">
        <f t="shared" si="1"/>
        <v>7422</v>
      </c>
      <c r="K56" s="9">
        <f t="array" ref="K56">QUARTILE(IF($F$3:$F$1460=$F56,$H$3:$H$1460),1)</f>
        <v>680</v>
      </c>
      <c r="L56" s="9">
        <f t="array" ref="L56">QUARTILE(IF($F$3:$F$1460=$F56,$H$3:$H$1460),2)</f>
        <v>991</v>
      </c>
      <c r="M56" s="9">
        <f t="array" ref="M56">QUARTILE(IF($F$3:$F$1460=$F56,$H$3:$H$1460),3)</f>
        <v>1485.8333333333335</v>
      </c>
    </row>
    <row r="57" spans="1:13" x14ac:dyDescent="0.25">
      <c r="A57" s="7">
        <v>55</v>
      </c>
      <c r="B57" s="6" t="s">
        <v>130</v>
      </c>
      <c r="C57" s="7">
        <v>4185749</v>
      </c>
      <c r="D57" s="23" t="s">
        <v>131</v>
      </c>
      <c r="E57" s="6" t="s">
        <v>132</v>
      </c>
      <c r="F57" s="21" t="s">
        <v>60</v>
      </c>
      <c r="G57" s="45" t="s">
        <v>156</v>
      </c>
      <c r="H57" s="22">
        <v>1184.7</v>
      </c>
      <c r="I57" s="9">
        <v>10</v>
      </c>
      <c r="J57" s="22">
        <f t="shared" si="1"/>
        <v>11847</v>
      </c>
      <c r="K57" s="9">
        <f t="array" ref="K57">QUARTILE(IF($F$3:$F$1460=$F57,$H$3:$H$1460),1)</f>
        <v>680</v>
      </c>
      <c r="L57" s="9">
        <f t="array" ref="L57">QUARTILE(IF($F$3:$F$1460=$F57,$H$3:$H$1460),2)</f>
        <v>991</v>
      </c>
      <c r="M57" s="9">
        <f t="array" ref="M57">QUARTILE(IF($F$3:$F$1460=$F57,$H$3:$H$1460),3)</f>
        <v>1485.8333333333335</v>
      </c>
    </row>
    <row r="58" spans="1:13" x14ac:dyDescent="0.25">
      <c r="A58" s="7">
        <v>56</v>
      </c>
      <c r="B58" s="6" t="s">
        <v>130</v>
      </c>
      <c r="C58" s="7">
        <v>4185749</v>
      </c>
      <c r="D58" s="23" t="s">
        <v>131</v>
      </c>
      <c r="E58" s="6" t="s">
        <v>132</v>
      </c>
      <c r="F58" s="21" t="s">
        <v>60</v>
      </c>
      <c r="G58" s="45" t="s">
        <v>157</v>
      </c>
      <c r="H58" s="22">
        <v>1409.4</v>
      </c>
      <c r="I58" s="9">
        <v>10</v>
      </c>
      <c r="J58" s="22">
        <f t="shared" si="1"/>
        <v>14094</v>
      </c>
      <c r="K58" s="9">
        <f t="array" ref="K58">QUARTILE(IF($F$3:$F$1460=$F58,$H$3:$H$1460),1)</f>
        <v>680</v>
      </c>
      <c r="L58" s="9">
        <f t="array" ref="L58">QUARTILE(IF($F$3:$F$1460=$F58,$H$3:$H$1460),2)</f>
        <v>991</v>
      </c>
      <c r="M58" s="9">
        <f t="array" ref="M58">QUARTILE(IF($F$3:$F$1460=$F58,$H$3:$H$1460),3)</f>
        <v>1485.8333333333335</v>
      </c>
    </row>
    <row r="59" spans="1:13" x14ac:dyDescent="0.25">
      <c r="A59" s="7">
        <v>57</v>
      </c>
      <c r="B59" s="6" t="s">
        <v>130</v>
      </c>
      <c r="C59" s="7">
        <v>4185749</v>
      </c>
      <c r="D59" s="23" t="s">
        <v>131</v>
      </c>
      <c r="E59" s="6" t="s">
        <v>132</v>
      </c>
      <c r="F59" s="21" t="s">
        <v>60</v>
      </c>
      <c r="G59" s="45" t="s">
        <v>158</v>
      </c>
      <c r="H59" s="22">
        <v>1016.2</v>
      </c>
      <c r="I59" s="9">
        <v>6</v>
      </c>
      <c r="J59" s="22">
        <f t="shared" si="1"/>
        <v>6097.2000000000007</v>
      </c>
      <c r="K59" s="9">
        <f t="array" ref="K59">QUARTILE(IF($F$3:$F$1460=$F59,$H$3:$H$1460),1)</f>
        <v>680</v>
      </c>
      <c r="L59" s="9">
        <f t="array" ref="L59">QUARTILE(IF($F$3:$F$1460=$F59,$H$3:$H$1460),2)</f>
        <v>991</v>
      </c>
      <c r="M59" s="9">
        <f t="array" ref="M59">QUARTILE(IF($F$3:$F$1460=$F59,$H$3:$H$1460),3)</f>
        <v>1485.8333333333335</v>
      </c>
    </row>
    <row r="60" spans="1:13" x14ac:dyDescent="0.25">
      <c r="A60" s="7">
        <v>58</v>
      </c>
      <c r="B60" s="6" t="s">
        <v>130</v>
      </c>
      <c r="C60" s="7">
        <v>4185749</v>
      </c>
      <c r="D60" s="23" t="s">
        <v>131</v>
      </c>
      <c r="E60" s="6" t="s">
        <v>132</v>
      </c>
      <c r="F60" s="21" t="s">
        <v>60</v>
      </c>
      <c r="G60" s="45" t="s">
        <v>159</v>
      </c>
      <c r="H60" s="22">
        <v>1600.5</v>
      </c>
      <c r="I60" s="9">
        <v>4</v>
      </c>
      <c r="J60" s="22">
        <f t="shared" si="1"/>
        <v>6402</v>
      </c>
      <c r="K60" s="9">
        <f t="array" ref="K60">QUARTILE(IF($F$3:$F$1460=$F60,$H$3:$H$1460),1)</f>
        <v>680</v>
      </c>
      <c r="L60" s="9">
        <f t="array" ref="L60">QUARTILE(IF($F$3:$F$1460=$F60,$H$3:$H$1460),2)</f>
        <v>991</v>
      </c>
      <c r="M60" s="9">
        <f t="array" ref="M60">QUARTILE(IF($F$3:$F$1460=$F60,$H$3:$H$1460),3)</f>
        <v>1485.8333333333335</v>
      </c>
    </row>
    <row r="61" spans="1:13" x14ac:dyDescent="0.25">
      <c r="A61" s="7">
        <v>59</v>
      </c>
      <c r="B61" s="6" t="s">
        <v>130</v>
      </c>
      <c r="C61" s="7">
        <v>4185749</v>
      </c>
      <c r="D61" s="23" t="s">
        <v>131</v>
      </c>
      <c r="E61" s="6" t="s">
        <v>132</v>
      </c>
      <c r="F61" s="21" t="s">
        <v>60</v>
      </c>
      <c r="G61" s="45" t="s">
        <v>160</v>
      </c>
      <c r="H61" s="22">
        <v>2240.9</v>
      </c>
      <c r="I61" s="9">
        <v>3</v>
      </c>
      <c r="J61" s="22">
        <f t="shared" si="1"/>
        <v>6722.7000000000007</v>
      </c>
      <c r="K61" s="9">
        <f t="array" ref="K61">QUARTILE(IF($F$3:$F$1460=$F61,$H$3:$H$1460),1)</f>
        <v>680</v>
      </c>
      <c r="L61" s="9">
        <f t="array" ref="L61">QUARTILE(IF($F$3:$F$1460=$F61,$H$3:$H$1460),2)</f>
        <v>991</v>
      </c>
      <c r="M61" s="9">
        <f t="array" ref="M61">QUARTILE(IF($F$3:$F$1460=$F61,$H$3:$H$1460),3)</f>
        <v>1485.8333333333335</v>
      </c>
    </row>
    <row r="62" spans="1:13" x14ac:dyDescent="0.25">
      <c r="A62" s="7">
        <v>60</v>
      </c>
      <c r="B62" s="6" t="s">
        <v>130</v>
      </c>
      <c r="C62" s="7">
        <v>4185749</v>
      </c>
      <c r="D62" s="23" t="s">
        <v>131</v>
      </c>
      <c r="E62" s="6" t="s">
        <v>132</v>
      </c>
      <c r="F62" s="21" t="s">
        <v>44</v>
      </c>
      <c r="G62" s="45" t="s">
        <v>161</v>
      </c>
      <c r="H62" s="22">
        <v>68.3</v>
      </c>
      <c r="I62" s="9">
        <v>50</v>
      </c>
      <c r="J62" s="22">
        <f t="shared" si="1"/>
        <v>3415</v>
      </c>
      <c r="K62" s="9">
        <f t="array" ref="K62">QUARTILE(IF($F$3:$F$1460=$F62,$H$3:$H$1460),1)</f>
        <v>141.67500000000001</v>
      </c>
      <c r="L62" s="9">
        <f t="array" ref="L62">QUARTILE(IF($F$3:$F$1460=$F62,$H$3:$H$1460),2)</f>
        <v>194</v>
      </c>
      <c r="M62" s="9">
        <f t="array" ref="M62">QUARTILE(IF($F$3:$F$1460=$F62,$H$3:$H$1460),3)</f>
        <v>266.75</v>
      </c>
    </row>
    <row r="63" spans="1:13" x14ac:dyDescent="0.25">
      <c r="A63" s="7">
        <v>61</v>
      </c>
      <c r="B63" s="6" t="s">
        <v>130</v>
      </c>
      <c r="C63" s="7">
        <v>4185749</v>
      </c>
      <c r="D63" s="23" t="s">
        <v>131</v>
      </c>
      <c r="E63" s="6" t="s">
        <v>132</v>
      </c>
      <c r="F63" s="21" t="s">
        <v>44</v>
      </c>
      <c r="G63" s="45" t="s">
        <v>162</v>
      </c>
      <c r="H63" s="22">
        <v>93</v>
      </c>
      <c r="I63" s="9">
        <v>100</v>
      </c>
      <c r="J63" s="22">
        <f t="shared" si="1"/>
        <v>9300</v>
      </c>
      <c r="K63" s="9">
        <f t="array" ref="K63">QUARTILE(IF($F$3:$F$1460=$F63,$H$3:$H$1460),1)</f>
        <v>141.67500000000001</v>
      </c>
      <c r="L63" s="9">
        <f t="array" ref="L63">QUARTILE(IF($F$3:$F$1460=$F63,$H$3:$H$1460),2)</f>
        <v>194</v>
      </c>
      <c r="M63" s="9">
        <f t="array" ref="M63">QUARTILE(IF($F$3:$F$1460=$F63,$H$3:$H$1460),3)</f>
        <v>266.75</v>
      </c>
    </row>
    <row r="64" spans="1:13" x14ac:dyDescent="0.25">
      <c r="A64" s="7">
        <v>62</v>
      </c>
      <c r="B64" s="6" t="s">
        <v>130</v>
      </c>
      <c r="C64" s="7">
        <v>4185749</v>
      </c>
      <c r="D64" s="23" t="s">
        <v>131</v>
      </c>
      <c r="E64" s="6" t="s">
        <v>132</v>
      </c>
      <c r="F64" s="21" t="s">
        <v>44</v>
      </c>
      <c r="G64" s="45" t="s">
        <v>163</v>
      </c>
      <c r="H64" s="22">
        <v>125.1</v>
      </c>
      <c r="I64" s="9">
        <v>50</v>
      </c>
      <c r="J64" s="22">
        <f t="shared" si="1"/>
        <v>6255</v>
      </c>
      <c r="K64" s="9">
        <f t="array" ref="K64">QUARTILE(IF($F$3:$F$1460=$F64,$H$3:$H$1460),1)</f>
        <v>141.67500000000001</v>
      </c>
      <c r="L64" s="9">
        <f t="array" ref="L64">QUARTILE(IF($F$3:$F$1460=$F64,$H$3:$H$1460),2)</f>
        <v>194</v>
      </c>
      <c r="M64" s="9">
        <f t="array" ref="M64">QUARTILE(IF($F$3:$F$1460=$F64,$H$3:$H$1460),3)</f>
        <v>266.75</v>
      </c>
    </row>
    <row r="65" spans="1:13" x14ac:dyDescent="0.25">
      <c r="A65" s="7">
        <v>63</v>
      </c>
      <c r="B65" s="6" t="s">
        <v>130</v>
      </c>
      <c r="C65" s="7">
        <v>4185749</v>
      </c>
      <c r="D65" s="23" t="s">
        <v>131</v>
      </c>
      <c r="E65" s="6" t="s">
        <v>132</v>
      </c>
      <c r="F65" s="21" t="s">
        <v>44</v>
      </c>
      <c r="G65" s="45" t="s">
        <v>164</v>
      </c>
      <c r="H65" s="22">
        <v>175.7</v>
      </c>
      <c r="I65" s="9">
        <v>30</v>
      </c>
      <c r="J65" s="22">
        <f t="shared" si="1"/>
        <v>5271</v>
      </c>
      <c r="K65" s="9">
        <f t="array" ref="K65">QUARTILE(IF($F$3:$F$1460=$F65,$H$3:$H$1460),1)</f>
        <v>141.67500000000001</v>
      </c>
      <c r="L65" s="9">
        <f t="array" ref="L65">QUARTILE(IF($F$3:$F$1460=$F65,$H$3:$H$1460),2)</f>
        <v>194</v>
      </c>
      <c r="M65" s="9">
        <f t="array" ref="M65">QUARTILE(IF($F$3:$F$1460=$F65,$H$3:$H$1460),3)</f>
        <v>266.75</v>
      </c>
    </row>
    <row r="66" spans="1:13" x14ac:dyDescent="0.25">
      <c r="A66" s="7">
        <v>64</v>
      </c>
      <c r="B66" s="6" t="s">
        <v>130</v>
      </c>
      <c r="C66" s="7">
        <v>4185749</v>
      </c>
      <c r="D66" s="23" t="s">
        <v>131</v>
      </c>
      <c r="E66" s="6" t="s">
        <v>132</v>
      </c>
      <c r="F66" s="21" t="s">
        <v>44</v>
      </c>
      <c r="G66" s="45" t="s">
        <v>165</v>
      </c>
      <c r="H66" s="22">
        <v>299.7</v>
      </c>
      <c r="I66" s="9">
        <v>10</v>
      </c>
      <c r="J66" s="22">
        <f t="shared" si="1"/>
        <v>2997</v>
      </c>
      <c r="K66" s="9">
        <f t="array" ref="K66">QUARTILE(IF($F$3:$F$1460=$F66,$H$3:$H$1460),1)</f>
        <v>141.67500000000001</v>
      </c>
      <c r="L66" s="9">
        <f t="array" ref="L66">QUARTILE(IF($F$3:$F$1460=$F66,$H$3:$H$1460),2)</f>
        <v>194</v>
      </c>
      <c r="M66" s="9">
        <f t="array" ref="M66">QUARTILE(IF($F$3:$F$1460=$F66,$H$3:$H$1460),3)</f>
        <v>266.75</v>
      </c>
    </row>
    <row r="67" spans="1:13" x14ac:dyDescent="0.25">
      <c r="A67" s="7">
        <v>65</v>
      </c>
      <c r="B67" s="6" t="s">
        <v>130</v>
      </c>
      <c r="C67" s="7">
        <v>4185749</v>
      </c>
      <c r="D67" s="23" t="s">
        <v>131</v>
      </c>
      <c r="E67" s="6" t="s">
        <v>132</v>
      </c>
      <c r="F67" s="21" t="s">
        <v>44</v>
      </c>
      <c r="G67" s="45" t="s">
        <v>166</v>
      </c>
      <c r="H67" s="22">
        <v>470.9</v>
      </c>
      <c r="I67" s="9">
        <v>10</v>
      </c>
      <c r="J67" s="22">
        <f t="shared" si="1"/>
        <v>4709</v>
      </c>
      <c r="K67" s="9">
        <f t="array" ref="K67">QUARTILE(IF($F$3:$F$1460=$F67,$H$3:$H$1460),1)</f>
        <v>141.67500000000001</v>
      </c>
      <c r="L67" s="9">
        <f t="array" ref="L67">QUARTILE(IF($F$3:$F$1460=$F67,$H$3:$H$1460),2)</f>
        <v>194</v>
      </c>
      <c r="M67" s="9">
        <f t="array" ref="M67">QUARTILE(IF($F$3:$F$1460=$F67,$H$3:$H$1460),3)</f>
        <v>266.75</v>
      </c>
    </row>
    <row r="68" spans="1:13" x14ac:dyDescent="0.25">
      <c r="A68" s="7">
        <v>66</v>
      </c>
      <c r="B68" s="6" t="s">
        <v>130</v>
      </c>
      <c r="C68" s="7">
        <v>4185749</v>
      </c>
      <c r="D68" s="23" t="s">
        <v>131</v>
      </c>
      <c r="E68" s="6" t="s">
        <v>132</v>
      </c>
      <c r="F68" s="21" t="s">
        <v>46</v>
      </c>
      <c r="G68" s="45" t="s">
        <v>167</v>
      </c>
      <c r="H68" s="22">
        <v>94.4</v>
      </c>
      <c r="I68" s="9">
        <v>10</v>
      </c>
      <c r="J68" s="22">
        <f t="shared" si="1"/>
        <v>944</v>
      </c>
      <c r="K68" s="9">
        <f t="array" ref="K68">QUARTILE(IF($F$3:$F$1460=$F68,$H$3:$H$1460),1)</f>
        <v>229.78</v>
      </c>
      <c r="L68" s="9">
        <f t="array" ref="L68">QUARTILE(IF($F$3:$F$1460=$F68,$H$3:$H$1460),2)</f>
        <v>424.2</v>
      </c>
      <c r="M68" s="9">
        <f t="array" ref="M68">QUARTILE(IF($F$3:$F$1460=$F68,$H$3:$H$1460),3)</f>
        <v>1030.3</v>
      </c>
    </row>
    <row r="69" spans="1:13" x14ac:dyDescent="0.25">
      <c r="A69" s="7">
        <v>67</v>
      </c>
      <c r="B69" s="6" t="s">
        <v>130</v>
      </c>
      <c r="C69" s="7">
        <v>4185749</v>
      </c>
      <c r="D69" s="23" t="s">
        <v>131</v>
      </c>
      <c r="E69" s="6" t="s">
        <v>132</v>
      </c>
      <c r="F69" s="21" t="s">
        <v>46</v>
      </c>
      <c r="G69" s="45" t="s">
        <v>168</v>
      </c>
      <c r="H69" s="22">
        <v>233.8</v>
      </c>
      <c r="I69" s="9">
        <v>10</v>
      </c>
      <c r="J69" s="22">
        <f t="shared" si="1"/>
        <v>2338</v>
      </c>
      <c r="K69" s="9">
        <f t="array" ref="K69">QUARTILE(IF($F$3:$F$1460=$F69,$H$3:$H$1460),1)</f>
        <v>229.78</v>
      </c>
      <c r="L69" s="9">
        <f t="array" ref="L69">QUARTILE(IF($F$3:$F$1460=$F69,$H$3:$H$1460),2)</f>
        <v>424.2</v>
      </c>
      <c r="M69" s="9">
        <f t="array" ref="M69">QUARTILE(IF($F$3:$F$1460=$F69,$H$3:$H$1460),3)</f>
        <v>1030.3</v>
      </c>
    </row>
    <row r="70" spans="1:13" x14ac:dyDescent="0.25">
      <c r="A70" s="7">
        <v>68</v>
      </c>
      <c r="B70" s="6" t="s">
        <v>130</v>
      </c>
      <c r="C70" s="7">
        <v>4185749</v>
      </c>
      <c r="D70" s="23" t="s">
        <v>131</v>
      </c>
      <c r="E70" s="6" t="s">
        <v>132</v>
      </c>
      <c r="F70" s="21" t="s">
        <v>46</v>
      </c>
      <c r="G70" s="45" t="s">
        <v>169</v>
      </c>
      <c r="H70" s="22">
        <v>159.80000000000001</v>
      </c>
      <c r="I70" s="9">
        <v>10</v>
      </c>
      <c r="J70" s="22">
        <f t="shared" si="1"/>
        <v>1598</v>
      </c>
      <c r="K70" s="9">
        <f t="array" ref="K70">QUARTILE(IF($F$3:$F$1460=$F70,$H$3:$H$1460),1)</f>
        <v>229.78</v>
      </c>
      <c r="L70" s="9">
        <f t="array" ref="L70">QUARTILE(IF($F$3:$F$1460=$F70,$H$3:$H$1460),2)</f>
        <v>424.2</v>
      </c>
      <c r="M70" s="9">
        <f t="array" ref="M70">QUARTILE(IF($F$3:$F$1460=$F70,$H$3:$H$1460),3)</f>
        <v>1030.3</v>
      </c>
    </row>
    <row r="71" spans="1:13" x14ac:dyDescent="0.25">
      <c r="A71" s="7">
        <v>69</v>
      </c>
      <c r="B71" s="6" t="s">
        <v>130</v>
      </c>
      <c r="C71" s="7">
        <v>4185749</v>
      </c>
      <c r="D71" s="23" t="s">
        <v>131</v>
      </c>
      <c r="E71" s="6" t="s">
        <v>132</v>
      </c>
      <c r="F71" s="21" t="s">
        <v>46</v>
      </c>
      <c r="G71" s="45" t="s">
        <v>170</v>
      </c>
      <c r="H71" s="22">
        <v>634.9</v>
      </c>
      <c r="I71" s="9">
        <v>2</v>
      </c>
      <c r="J71" s="22">
        <f t="shared" si="1"/>
        <v>1269.8</v>
      </c>
      <c r="K71" s="9">
        <f t="array" ref="K71">QUARTILE(IF($F$3:$F$1460=$F71,$H$3:$H$1460),1)</f>
        <v>229.78</v>
      </c>
      <c r="L71" s="9">
        <f t="array" ref="L71">QUARTILE(IF($F$3:$F$1460=$F71,$H$3:$H$1460),2)</f>
        <v>424.2</v>
      </c>
      <c r="M71" s="9">
        <f t="array" ref="M71">QUARTILE(IF($F$3:$F$1460=$F71,$H$3:$H$1460),3)</f>
        <v>1030.3</v>
      </c>
    </row>
    <row r="72" spans="1:13" ht="17.25" customHeight="1" x14ac:dyDescent="0.25">
      <c r="A72" s="7">
        <v>70</v>
      </c>
      <c r="B72" s="6" t="s">
        <v>130</v>
      </c>
      <c r="C72" s="7">
        <v>4185749</v>
      </c>
      <c r="D72" s="23" t="s">
        <v>131</v>
      </c>
      <c r="E72" s="6" t="s">
        <v>132</v>
      </c>
      <c r="F72" s="21" t="s">
        <v>46</v>
      </c>
      <c r="G72" s="45" t="s">
        <v>171</v>
      </c>
      <c r="H72" s="22">
        <v>424.2</v>
      </c>
      <c r="I72" s="9">
        <v>10</v>
      </c>
      <c r="J72" s="22">
        <f t="shared" si="1"/>
        <v>4242</v>
      </c>
      <c r="K72" s="9">
        <f t="array" ref="K72">QUARTILE(IF($F$3:$F$1460=$F72,$H$3:$H$1460),1)</f>
        <v>229.78</v>
      </c>
      <c r="L72" s="9">
        <f t="array" ref="L72">QUARTILE(IF($F$3:$F$1460=$F72,$H$3:$H$1460),2)</f>
        <v>424.2</v>
      </c>
      <c r="M72" s="9">
        <f t="array" ref="M72">QUARTILE(IF($F$3:$F$1460=$F72,$H$3:$H$1460),3)</f>
        <v>1030.3</v>
      </c>
    </row>
    <row r="73" spans="1:13" x14ac:dyDescent="0.25">
      <c r="A73" s="7">
        <v>71</v>
      </c>
      <c r="B73" s="6" t="s">
        <v>130</v>
      </c>
      <c r="C73" s="7">
        <v>4185749</v>
      </c>
      <c r="D73" s="23" t="s">
        <v>131</v>
      </c>
      <c r="E73" s="6" t="s">
        <v>132</v>
      </c>
      <c r="F73" s="21" t="s">
        <v>46</v>
      </c>
      <c r="G73" s="45" t="s">
        <v>172</v>
      </c>
      <c r="H73" s="22">
        <v>550.6</v>
      </c>
      <c r="I73" s="9">
        <v>6</v>
      </c>
      <c r="J73" s="22">
        <f t="shared" si="1"/>
        <v>3303.6000000000004</v>
      </c>
      <c r="K73" s="9">
        <f t="array" ref="K73">QUARTILE(IF($F$3:$F$1460=$F73,$H$3:$H$1460),1)</f>
        <v>229.78</v>
      </c>
      <c r="L73" s="9">
        <f t="array" ref="L73">QUARTILE(IF($F$3:$F$1460=$F73,$H$3:$H$1460),2)</f>
        <v>424.2</v>
      </c>
      <c r="M73" s="9">
        <f t="array" ref="M73">QUARTILE(IF($F$3:$F$1460=$F73,$H$3:$H$1460),3)</f>
        <v>1030.3</v>
      </c>
    </row>
    <row r="74" spans="1:13" ht="30.75" customHeight="1" x14ac:dyDescent="0.25">
      <c r="A74" s="7">
        <v>72</v>
      </c>
      <c r="B74" s="6" t="s">
        <v>130</v>
      </c>
      <c r="C74" s="7">
        <v>4185749</v>
      </c>
      <c r="D74" s="23" t="s">
        <v>131</v>
      </c>
      <c r="E74" s="6" t="s">
        <v>132</v>
      </c>
      <c r="F74" s="21" t="s">
        <v>54</v>
      </c>
      <c r="G74" s="45" t="s">
        <v>173</v>
      </c>
      <c r="H74" s="22">
        <v>439.4</v>
      </c>
      <c r="I74" s="9">
        <v>10</v>
      </c>
      <c r="J74" s="22">
        <f t="shared" si="1"/>
        <v>4394</v>
      </c>
      <c r="K74" s="9">
        <f t="array" ref="K74">QUARTILE(IF($F$3:$F$1460=$F74,$H$3:$H$1460),1)</f>
        <v>393.94499999999999</v>
      </c>
      <c r="L74" s="9">
        <f t="array" ref="L74">QUARTILE(IF($F$3:$F$1460=$F74,$H$3:$H$1460),2)</f>
        <v>710.01499999999999</v>
      </c>
      <c r="M74" s="9">
        <f t="array" ref="M74">QUARTILE(IF($F$3:$F$1460=$F74,$H$3:$H$1460),3)</f>
        <v>2552.0574999999999</v>
      </c>
    </row>
    <row r="75" spans="1:13" x14ac:dyDescent="0.25">
      <c r="A75" s="7">
        <v>73</v>
      </c>
      <c r="B75" s="6" t="s">
        <v>130</v>
      </c>
      <c r="C75" s="7">
        <v>4185749</v>
      </c>
      <c r="D75" s="23" t="s">
        <v>131</v>
      </c>
      <c r="E75" s="6" t="s">
        <v>132</v>
      </c>
      <c r="F75" s="21" t="s">
        <v>54</v>
      </c>
      <c r="G75" s="45" t="s">
        <v>174</v>
      </c>
      <c r="H75" s="22">
        <v>122.2</v>
      </c>
      <c r="I75" s="9">
        <v>5</v>
      </c>
      <c r="J75" s="22">
        <f t="shared" si="1"/>
        <v>611</v>
      </c>
      <c r="K75" s="9">
        <f t="array" ref="K75">QUARTILE(IF($F$3:$F$1460=$F75,$H$3:$H$1460),1)</f>
        <v>393.94499999999999</v>
      </c>
      <c r="L75" s="9">
        <f t="array" ref="L75">QUARTILE(IF($F$3:$F$1460=$F75,$H$3:$H$1460),2)</f>
        <v>710.01499999999999</v>
      </c>
      <c r="M75" s="9">
        <f t="array" ref="M75">QUARTILE(IF($F$3:$F$1460=$F75,$H$3:$H$1460),3)</f>
        <v>2552.0574999999999</v>
      </c>
    </row>
    <row r="76" spans="1:13" x14ac:dyDescent="0.25">
      <c r="A76" s="7">
        <v>74</v>
      </c>
      <c r="B76" s="6" t="s">
        <v>130</v>
      </c>
      <c r="C76" s="7">
        <v>4185749</v>
      </c>
      <c r="D76" s="23" t="s">
        <v>131</v>
      </c>
      <c r="E76" s="6" t="s">
        <v>132</v>
      </c>
      <c r="F76" s="21" t="s">
        <v>54</v>
      </c>
      <c r="G76" s="45" t="s">
        <v>175</v>
      </c>
      <c r="H76" s="22">
        <v>239.8</v>
      </c>
      <c r="I76" s="9">
        <v>5</v>
      </c>
      <c r="J76" s="22">
        <f t="shared" si="1"/>
        <v>1199</v>
      </c>
      <c r="K76" s="9">
        <f t="array" ref="K76">QUARTILE(IF($F$3:$F$1460=$F76,$H$3:$H$1460),1)</f>
        <v>393.94499999999999</v>
      </c>
      <c r="L76" s="9">
        <f t="array" ref="L76">QUARTILE(IF($F$3:$F$1460=$F76,$H$3:$H$1460),2)</f>
        <v>710.01499999999999</v>
      </c>
      <c r="M76" s="9">
        <f t="array" ref="M76">QUARTILE(IF($F$3:$F$1460=$F76,$H$3:$H$1460),3)</f>
        <v>2552.0574999999999</v>
      </c>
    </row>
    <row r="77" spans="1:13" x14ac:dyDescent="0.25">
      <c r="A77" s="7">
        <v>75</v>
      </c>
      <c r="B77" s="6" t="s">
        <v>130</v>
      </c>
      <c r="C77" s="7">
        <v>4185749</v>
      </c>
      <c r="D77" s="23" t="s">
        <v>131</v>
      </c>
      <c r="E77" s="6" t="s">
        <v>132</v>
      </c>
      <c r="F77" s="21" t="s">
        <v>54</v>
      </c>
      <c r="G77" s="45" t="s">
        <v>176</v>
      </c>
      <c r="H77" s="22">
        <v>691.1</v>
      </c>
      <c r="I77" s="9">
        <v>3</v>
      </c>
      <c r="J77" s="22">
        <f t="shared" si="1"/>
        <v>2073.3000000000002</v>
      </c>
      <c r="K77" s="9">
        <f t="array" ref="K77">QUARTILE(IF($F$3:$F$1460=$F77,$H$3:$H$1460),1)</f>
        <v>393.94499999999999</v>
      </c>
      <c r="L77" s="9">
        <f t="array" ref="L77">QUARTILE(IF($F$3:$F$1460=$F77,$H$3:$H$1460),2)</f>
        <v>710.01499999999999</v>
      </c>
      <c r="M77" s="9">
        <f t="array" ref="M77">QUARTILE(IF($F$3:$F$1460=$F77,$H$3:$H$1460),3)</f>
        <v>2552.0574999999999</v>
      </c>
    </row>
    <row r="78" spans="1:13" x14ac:dyDescent="0.25">
      <c r="A78" s="7">
        <v>76</v>
      </c>
      <c r="B78" s="6" t="s">
        <v>130</v>
      </c>
      <c r="C78" s="7">
        <v>4185749</v>
      </c>
      <c r="D78" s="23" t="s">
        <v>131</v>
      </c>
      <c r="E78" s="6" t="s">
        <v>132</v>
      </c>
      <c r="F78" s="21" t="s">
        <v>54</v>
      </c>
      <c r="G78" s="45" t="s">
        <v>177</v>
      </c>
      <c r="H78" s="22">
        <v>479.9</v>
      </c>
      <c r="I78" s="9">
        <v>6</v>
      </c>
      <c r="J78" s="22">
        <f t="shared" si="1"/>
        <v>2879.3999999999996</v>
      </c>
      <c r="K78" s="9">
        <f t="array" ref="K78">QUARTILE(IF($F$3:$F$1460=$F78,$H$3:$H$1460),1)</f>
        <v>393.94499999999999</v>
      </c>
      <c r="L78" s="9">
        <f t="array" ref="L78">QUARTILE(IF($F$3:$F$1460=$F78,$H$3:$H$1460),2)</f>
        <v>710.01499999999999</v>
      </c>
      <c r="M78" s="9">
        <f t="array" ref="M78">QUARTILE(IF($F$3:$F$1460=$F78,$H$3:$H$1460),3)</f>
        <v>2552.0574999999999</v>
      </c>
    </row>
    <row r="79" spans="1:13" x14ac:dyDescent="0.25">
      <c r="A79" s="7">
        <v>77</v>
      </c>
      <c r="B79" s="6" t="s">
        <v>130</v>
      </c>
      <c r="C79" s="7">
        <v>4185749</v>
      </c>
      <c r="D79" s="23" t="s">
        <v>131</v>
      </c>
      <c r="E79" s="6" t="s">
        <v>132</v>
      </c>
      <c r="F79" s="21" t="s">
        <v>54</v>
      </c>
      <c r="G79" s="45" t="s">
        <v>178</v>
      </c>
      <c r="H79" s="22">
        <v>696.5</v>
      </c>
      <c r="I79" s="9">
        <v>4</v>
      </c>
      <c r="J79" s="22">
        <f t="shared" si="1"/>
        <v>2786</v>
      </c>
      <c r="K79" s="9">
        <f t="array" ref="K79">QUARTILE(IF($F$3:$F$1460=$F79,$H$3:$H$1460),1)</f>
        <v>393.94499999999999</v>
      </c>
      <c r="L79" s="9">
        <f t="array" ref="L79">QUARTILE(IF($F$3:$F$1460=$F79,$H$3:$H$1460),2)</f>
        <v>710.01499999999999</v>
      </c>
      <c r="M79" s="9">
        <f t="array" ref="M79">QUARTILE(IF($F$3:$F$1460=$F79,$H$3:$H$1460),3)</f>
        <v>2552.0574999999999</v>
      </c>
    </row>
    <row r="80" spans="1:13" x14ac:dyDescent="0.25">
      <c r="A80" s="7">
        <v>78</v>
      </c>
      <c r="B80" s="6" t="s">
        <v>130</v>
      </c>
      <c r="C80" s="7">
        <v>4185749</v>
      </c>
      <c r="D80" s="23" t="s">
        <v>131</v>
      </c>
      <c r="E80" s="6" t="s">
        <v>132</v>
      </c>
      <c r="F80" s="21" t="s">
        <v>54</v>
      </c>
      <c r="G80" s="45" t="s">
        <v>179</v>
      </c>
      <c r="H80" s="22">
        <v>2415.8000000000002</v>
      </c>
      <c r="I80" s="9">
        <v>2</v>
      </c>
      <c r="J80" s="22">
        <f t="shared" si="1"/>
        <v>4831.6000000000004</v>
      </c>
      <c r="K80" s="9">
        <f t="array" ref="K80">QUARTILE(IF($F$3:$F$1460=$F80,$H$3:$H$1460),1)</f>
        <v>393.94499999999999</v>
      </c>
      <c r="L80" s="9">
        <f t="array" ref="L80">QUARTILE(IF($F$3:$F$1460=$F80,$H$3:$H$1460),2)</f>
        <v>710.01499999999999</v>
      </c>
      <c r="M80" s="9">
        <f t="array" ref="M80">QUARTILE(IF($F$3:$F$1460=$F80,$H$3:$H$1460),3)</f>
        <v>2552.0574999999999</v>
      </c>
    </row>
    <row r="81" spans="1:13" x14ac:dyDescent="0.25">
      <c r="A81" s="7">
        <v>79</v>
      </c>
      <c r="B81" s="6" t="s">
        <v>130</v>
      </c>
      <c r="C81" s="7">
        <v>4185749</v>
      </c>
      <c r="D81" s="23" t="s">
        <v>131</v>
      </c>
      <c r="E81" s="6" t="s">
        <v>132</v>
      </c>
      <c r="F81" s="21" t="s">
        <v>41</v>
      </c>
      <c r="G81" s="45" t="s">
        <v>180</v>
      </c>
      <c r="H81" s="22">
        <v>86.2</v>
      </c>
      <c r="I81" s="9">
        <v>5</v>
      </c>
      <c r="J81" s="22">
        <f t="shared" si="1"/>
        <v>431</v>
      </c>
      <c r="K81" s="9">
        <f t="array" ref="K81">QUARTILE(IF($F$3:$F$1460=$F81,$H$3:$H$1460),1)</f>
        <v>112.19999999999999</v>
      </c>
      <c r="L81" s="9">
        <f t="array" ref="L81">QUARTILE(IF($F$3:$F$1460=$F81,$H$3:$H$1460),2)</f>
        <v>252</v>
      </c>
      <c r="M81" s="9">
        <f t="array" ref="M81">QUARTILE(IF($F$3:$F$1460=$F81,$H$3:$H$1460),3)</f>
        <v>2310</v>
      </c>
    </row>
    <row r="82" spans="1:13" x14ac:dyDescent="0.25">
      <c r="A82" s="7">
        <v>80</v>
      </c>
      <c r="B82" s="6" t="s">
        <v>130</v>
      </c>
      <c r="C82" s="7">
        <v>4185749</v>
      </c>
      <c r="D82" s="23" t="s">
        <v>131</v>
      </c>
      <c r="E82" s="6" t="s">
        <v>132</v>
      </c>
      <c r="F82" s="21" t="s">
        <v>41</v>
      </c>
      <c r="G82" s="45" t="s">
        <v>181</v>
      </c>
      <c r="H82" s="22">
        <v>163.9</v>
      </c>
      <c r="I82" s="9">
        <v>5</v>
      </c>
      <c r="J82" s="22">
        <f t="shared" si="1"/>
        <v>819.5</v>
      </c>
      <c r="K82" s="9">
        <f t="array" ref="K82">QUARTILE(IF($F$3:$F$1460=$F82,$H$3:$H$1460),1)</f>
        <v>112.19999999999999</v>
      </c>
      <c r="L82" s="9">
        <f t="array" ref="L82">QUARTILE(IF($F$3:$F$1460=$F82,$H$3:$H$1460),2)</f>
        <v>252</v>
      </c>
      <c r="M82" s="9">
        <f t="array" ref="M82">QUARTILE(IF($F$3:$F$1460=$F82,$H$3:$H$1460),3)</f>
        <v>2310</v>
      </c>
    </row>
    <row r="83" spans="1:13" x14ac:dyDescent="0.25">
      <c r="A83" s="7">
        <v>81</v>
      </c>
      <c r="B83" s="6" t="s">
        <v>130</v>
      </c>
      <c r="C83" s="7">
        <v>4185749</v>
      </c>
      <c r="D83" s="23" t="s">
        <v>131</v>
      </c>
      <c r="E83" s="6" t="s">
        <v>132</v>
      </c>
      <c r="F83" s="21" t="s">
        <v>65</v>
      </c>
      <c r="G83" s="45" t="s">
        <v>182</v>
      </c>
      <c r="H83" s="22">
        <v>1247.2</v>
      </c>
      <c r="I83" s="9">
        <v>2</v>
      </c>
      <c r="J83" s="22">
        <f t="shared" si="1"/>
        <v>2494.4</v>
      </c>
      <c r="K83" s="9">
        <f t="array" ref="K83">QUARTILE(IF($F$3:$F$1460=$F83,$H$3:$H$1460),1)</f>
        <v>1383.98</v>
      </c>
      <c r="L83" s="9">
        <f t="array" ref="L83">QUARTILE(IF($F$3:$F$1460=$F83,$H$3:$H$1460),2)</f>
        <v>1866.7</v>
      </c>
      <c r="M83" s="9">
        <f t="array" ref="M83">QUARTILE(IF($F$3:$F$1460=$F83,$H$3:$H$1460),3)</f>
        <v>4574.5833333333339</v>
      </c>
    </row>
    <row r="84" spans="1:13" x14ac:dyDescent="0.25">
      <c r="A84" s="7">
        <v>82</v>
      </c>
      <c r="B84" s="6" t="s">
        <v>130</v>
      </c>
      <c r="C84" s="7">
        <v>4185749</v>
      </c>
      <c r="D84" s="23" t="s">
        <v>131</v>
      </c>
      <c r="E84" s="6" t="s">
        <v>132</v>
      </c>
      <c r="F84" s="21" t="s">
        <v>65</v>
      </c>
      <c r="G84" s="45" t="s">
        <v>183</v>
      </c>
      <c r="H84" s="22">
        <v>1866.7</v>
      </c>
      <c r="I84" s="9">
        <v>1</v>
      </c>
      <c r="J84" s="22">
        <f t="shared" si="1"/>
        <v>1866.7</v>
      </c>
      <c r="K84" s="9">
        <f t="array" ref="K84">QUARTILE(IF($F$3:$F$1460=$F84,$H$3:$H$1460),1)</f>
        <v>1383.98</v>
      </c>
      <c r="L84" s="9">
        <f t="array" ref="L84">QUARTILE(IF($F$3:$F$1460=$F84,$H$3:$H$1460),2)</f>
        <v>1866.7</v>
      </c>
      <c r="M84" s="9">
        <f t="array" ref="M84">QUARTILE(IF($F$3:$F$1460=$F84,$H$3:$H$1460),3)</f>
        <v>4574.5833333333339</v>
      </c>
    </row>
    <row r="85" spans="1:13" x14ac:dyDescent="0.25">
      <c r="A85" s="7">
        <v>83</v>
      </c>
      <c r="B85" s="6" t="s">
        <v>130</v>
      </c>
      <c r="C85" s="7">
        <v>4185749</v>
      </c>
      <c r="D85" s="23" t="s">
        <v>131</v>
      </c>
      <c r="E85" s="6" t="s">
        <v>132</v>
      </c>
      <c r="F85" s="21" t="s">
        <v>61</v>
      </c>
      <c r="G85" s="45" t="s">
        <v>184</v>
      </c>
      <c r="H85" s="22">
        <v>713.6</v>
      </c>
      <c r="I85" s="9">
        <v>10</v>
      </c>
      <c r="J85" s="22">
        <f t="shared" si="1"/>
        <v>7136</v>
      </c>
      <c r="K85" s="9">
        <f t="array" ref="K85">QUARTILE(IF($F$3:$F$1460=$F85,$H$3:$H$1460),1)</f>
        <v>709.95</v>
      </c>
      <c r="L85" s="9">
        <f t="array" ref="L85">QUARTILE(IF($F$3:$F$1460=$F85,$H$3:$H$1460),2)</f>
        <v>1000</v>
      </c>
      <c r="M85" s="9">
        <f t="array" ref="M85">QUARTILE(IF($F$3:$F$1460=$F85,$H$3:$H$1460),3)</f>
        <v>5171.4583333333339</v>
      </c>
    </row>
    <row r="86" spans="1:13" ht="18" customHeight="1" x14ac:dyDescent="0.25">
      <c r="A86" s="7">
        <v>84</v>
      </c>
      <c r="B86" s="6" t="s">
        <v>130</v>
      </c>
      <c r="C86" s="7">
        <v>4185749</v>
      </c>
      <c r="D86" s="23" t="s">
        <v>131</v>
      </c>
      <c r="E86" s="6" t="s">
        <v>132</v>
      </c>
      <c r="F86" s="21" t="s">
        <v>61</v>
      </c>
      <c r="G86" s="45" t="s">
        <v>185</v>
      </c>
      <c r="H86" s="22">
        <v>867.6</v>
      </c>
      <c r="I86" s="9">
        <v>2</v>
      </c>
      <c r="J86" s="22">
        <f t="shared" si="1"/>
        <v>1735.2</v>
      </c>
      <c r="K86" s="9">
        <f t="array" ref="K86">QUARTILE(IF($F$3:$F$1460=$F86,$H$3:$H$1460),1)</f>
        <v>709.95</v>
      </c>
      <c r="L86" s="9">
        <f t="array" ref="L86">QUARTILE(IF($F$3:$F$1460=$F86,$H$3:$H$1460),2)</f>
        <v>1000</v>
      </c>
      <c r="M86" s="9">
        <f t="array" ref="M86">QUARTILE(IF($F$3:$F$1460=$F86,$H$3:$H$1460),3)</f>
        <v>5171.4583333333339</v>
      </c>
    </row>
    <row r="87" spans="1:13" ht="16.5" customHeight="1" x14ac:dyDescent="0.25">
      <c r="A87" s="7">
        <v>85</v>
      </c>
      <c r="B87" s="6" t="s">
        <v>130</v>
      </c>
      <c r="C87" s="7">
        <v>4185749</v>
      </c>
      <c r="D87" s="23" t="s">
        <v>131</v>
      </c>
      <c r="E87" s="6" t="s">
        <v>132</v>
      </c>
      <c r="F87" s="21" t="s">
        <v>61</v>
      </c>
      <c r="G87" s="45" t="s">
        <v>186</v>
      </c>
      <c r="H87" s="22">
        <v>3218</v>
      </c>
      <c r="I87" s="9">
        <v>2</v>
      </c>
      <c r="J87" s="22">
        <f t="shared" si="1"/>
        <v>6436</v>
      </c>
      <c r="K87" s="9">
        <f t="array" ref="K87">QUARTILE(IF($F$3:$F$1460=$F87,$H$3:$H$1460),1)</f>
        <v>709.95</v>
      </c>
      <c r="L87" s="9">
        <f t="array" ref="L87">QUARTILE(IF($F$3:$F$1460=$F87,$H$3:$H$1460),2)</f>
        <v>1000</v>
      </c>
      <c r="M87" s="9">
        <f t="array" ref="M87">QUARTILE(IF($F$3:$F$1460=$F87,$H$3:$H$1460),3)</f>
        <v>5171.4583333333339</v>
      </c>
    </row>
    <row r="88" spans="1:13" ht="33" customHeight="1" x14ac:dyDescent="0.25">
      <c r="A88" s="7">
        <v>86</v>
      </c>
      <c r="B88" s="6" t="s">
        <v>130</v>
      </c>
      <c r="C88" s="7">
        <v>4185749</v>
      </c>
      <c r="D88" s="23" t="s">
        <v>131</v>
      </c>
      <c r="E88" s="6" t="s">
        <v>132</v>
      </c>
      <c r="F88" s="21" t="s">
        <v>61</v>
      </c>
      <c r="G88" s="45" t="s">
        <v>187</v>
      </c>
      <c r="H88" s="22">
        <v>1835.4</v>
      </c>
      <c r="I88" s="9">
        <v>2</v>
      </c>
      <c r="J88" s="22">
        <f t="shared" si="1"/>
        <v>3670.8</v>
      </c>
      <c r="K88" s="9">
        <f t="array" ref="K88">QUARTILE(IF($F$3:$F$1460=$F88,$H$3:$H$1460),1)</f>
        <v>709.95</v>
      </c>
      <c r="L88" s="9">
        <f t="array" ref="L88">QUARTILE(IF($F$3:$F$1460=$F88,$H$3:$H$1460),2)</f>
        <v>1000</v>
      </c>
      <c r="M88" s="9">
        <f t="array" ref="M88">QUARTILE(IF($F$3:$F$1460=$F88,$H$3:$H$1460),3)</f>
        <v>5171.4583333333339</v>
      </c>
    </row>
    <row r="89" spans="1:13" x14ac:dyDescent="0.25">
      <c r="A89" s="7">
        <v>87</v>
      </c>
      <c r="B89" s="6" t="s">
        <v>130</v>
      </c>
      <c r="C89" s="7">
        <v>4185749</v>
      </c>
      <c r="D89" s="23" t="s">
        <v>131</v>
      </c>
      <c r="E89" s="6" t="s">
        <v>132</v>
      </c>
      <c r="F89" s="21" t="s">
        <v>61</v>
      </c>
      <c r="G89" s="45" t="s">
        <v>188</v>
      </c>
      <c r="H89" s="22">
        <v>11272.7</v>
      </c>
      <c r="I89" s="9">
        <v>2</v>
      </c>
      <c r="J89" s="22">
        <f t="shared" si="1"/>
        <v>22545.4</v>
      </c>
      <c r="K89" s="9">
        <f t="array" ref="K89">QUARTILE(IF($F$3:$F$1460=$F89,$H$3:$H$1460),1)</f>
        <v>709.95</v>
      </c>
      <c r="L89" s="9">
        <f t="array" ref="L89">QUARTILE(IF($F$3:$F$1460=$F89,$H$3:$H$1460),2)</f>
        <v>1000</v>
      </c>
      <c r="M89" s="9">
        <f t="array" ref="M89">QUARTILE(IF($F$3:$F$1460=$F89,$H$3:$H$1460),3)</f>
        <v>5171.4583333333339</v>
      </c>
    </row>
    <row r="90" spans="1:13" x14ac:dyDescent="0.25">
      <c r="A90" s="7">
        <v>88</v>
      </c>
      <c r="B90" s="6" t="s">
        <v>130</v>
      </c>
      <c r="C90" s="7">
        <v>4185749</v>
      </c>
      <c r="D90" s="23" t="s">
        <v>131</v>
      </c>
      <c r="E90" s="6" t="s">
        <v>132</v>
      </c>
      <c r="F90" s="21" t="s">
        <v>61</v>
      </c>
      <c r="G90" s="45" t="s">
        <v>189</v>
      </c>
      <c r="H90" s="22">
        <v>33708.5</v>
      </c>
      <c r="I90" s="9">
        <v>1</v>
      </c>
      <c r="J90" s="22">
        <f t="shared" si="1"/>
        <v>33708.5</v>
      </c>
      <c r="K90" s="9">
        <f t="array" ref="K90">QUARTILE(IF($F$3:$F$1460=$F90,$H$3:$H$1460),1)</f>
        <v>709.95</v>
      </c>
      <c r="L90" s="9">
        <f t="array" ref="L90">QUARTILE(IF($F$3:$F$1460=$F90,$H$3:$H$1460),2)</f>
        <v>1000</v>
      </c>
      <c r="M90" s="9">
        <f t="array" ref="M90">QUARTILE(IF($F$3:$F$1460=$F90,$H$3:$H$1460),3)</f>
        <v>5171.4583333333339</v>
      </c>
    </row>
    <row r="91" spans="1:13" x14ac:dyDescent="0.25">
      <c r="A91" s="7">
        <v>89</v>
      </c>
      <c r="B91" s="6" t="s">
        <v>130</v>
      </c>
      <c r="C91" s="7">
        <v>4185749</v>
      </c>
      <c r="D91" s="23" t="s">
        <v>131</v>
      </c>
      <c r="E91" s="6" t="s">
        <v>132</v>
      </c>
      <c r="F91" s="21" t="s">
        <v>31</v>
      </c>
      <c r="G91" s="6" t="s">
        <v>190</v>
      </c>
      <c r="H91" s="22">
        <v>52.8</v>
      </c>
      <c r="I91" s="9">
        <v>20</v>
      </c>
      <c r="J91" s="22">
        <f t="shared" si="1"/>
        <v>1056</v>
      </c>
      <c r="K91" s="9">
        <f t="array" ref="K91">QUARTILE(IF($F$3:$F$1460=$F91,$H$3:$H$1460),1)</f>
        <v>55.5</v>
      </c>
      <c r="L91" s="9">
        <f t="array" ref="L91">QUARTILE(IF($F$3:$F$1460=$F91,$H$3:$H$1460),2)</f>
        <v>91.88</v>
      </c>
      <c r="M91" s="9">
        <f t="array" ref="M91">QUARTILE(IF($F$3:$F$1460=$F91,$H$3:$H$1460),3)</f>
        <v>148.36000000000001</v>
      </c>
    </row>
    <row r="92" spans="1:13" x14ac:dyDescent="0.25">
      <c r="A92" s="7">
        <v>90</v>
      </c>
      <c r="B92" s="6" t="s">
        <v>130</v>
      </c>
      <c r="C92" s="7">
        <v>4185749</v>
      </c>
      <c r="D92" s="23" t="s">
        <v>131</v>
      </c>
      <c r="E92" s="6" t="s">
        <v>132</v>
      </c>
      <c r="F92" s="21" t="s">
        <v>31</v>
      </c>
      <c r="G92" s="6" t="s">
        <v>191</v>
      </c>
      <c r="H92" s="22">
        <v>73</v>
      </c>
      <c r="I92" s="9">
        <v>20</v>
      </c>
      <c r="J92" s="22">
        <f t="shared" si="1"/>
        <v>1460</v>
      </c>
      <c r="K92" s="9">
        <f t="array" ref="K92">QUARTILE(IF($F$3:$F$1460=$F92,$H$3:$H$1460),1)</f>
        <v>55.5</v>
      </c>
      <c r="L92" s="9">
        <f t="array" ref="L92">QUARTILE(IF($F$3:$F$1460=$F92,$H$3:$H$1460),2)</f>
        <v>91.88</v>
      </c>
      <c r="M92" s="9">
        <f t="array" ref="M92">QUARTILE(IF($F$3:$F$1460=$F92,$H$3:$H$1460),3)</f>
        <v>148.36000000000001</v>
      </c>
    </row>
    <row r="93" spans="1:13" x14ac:dyDescent="0.25">
      <c r="A93" s="7">
        <v>91</v>
      </c>
      <c r="B93" s="6" t="s">
        <v>130</v>
      </c>
      <c r="C93" s="7">
        <v>4185749</v>
      </c>
      <c r="D93" s="23" t="s">
        <v>131</v>
      </c>
      <c r="E93" s="6" t="s">
        <v>132</v>
      </c>
      <c r="F93" s="21" t="s">
        <v>31</v>
      </c>
      <c r="G93" s="6" t="s">
        <v>192</v>
      </c>
      <c r="H93" s="22">
        <v>107.1</v>
      </c>
      <c r="I93" s="9">
        <v>20</v>
      </c>
      <c r="J93" s="22">
        <f t="shared" si="1"/>
        <v>2142</v>
      </c>
      <c r="K93" s="9">
        <f t="array" ref="K93">QUARTILE(IF($F$3:$F$1460=$F93,$H$3:$H$1460),1)</f>
        <v>55.5</v>
      </c>
      <c r="L93" s="9">
        <f t="array" ref="L93">QUARTILE(IF($F$3:$F$1460=$F93,$H$3:$H$1460),2)</f>
        <v>91.88</v>
      </c>
      <c r="M93" s="9">
        <f t="array" ref="M93">QUARTILE(IF($F$3:$F$1460=$F93,$H$3:$H$1460),3)</f>
        <v>148.36000000000001</v>
      </c>
    </row>
    <row r="94" spans="1:13" x14ac:dyDescent="0.25">
      <c r="A94" s="7">
        <v>92</v>
      </c>
      <c r="B94" s="6" t="s">
        <v>130</v>
      </c>
      <c r="C94" s="7">
        <v>4185749</v>
      </c>
      <c r="D94" s="23" t="s">
        <v>131</v>
      </c>
      <c r="E94" s="6" t="s">
        <v>132</v>
      </c>
      <c r="F94" s="21" t="s">
        <v>31</v>
      </c>
      <c r="G94" s="6" t="s">
        <v>193</v>
      </c>
      <c r="H94" s="22">
        <v>55.4</v>
      </c>
      <c r="I94" s="9">
        <v>10</v>
      </c>
      <c r="J94" s="22">
        <f t="shared" si="1"/>
        <v>554</v>
      </c>
      <c r="K94" s="9">
        <f t="array" ref="K94">QUARTILE(IF($F$3:$F$1460=$F94,$H$3:$H$1460),1)</f>
        <v>55.5</v>
      </c>
      <c r="L94" s="9">
        <f t="array" ref="L94">QUARTILE(IF($F$3:$F$1460=$F94,$H$3:$H$1460),2)</f>
        <v>91.88</v>
      </c>
      <c r="M94" s="9">
        <f t="array" ref="M94">QUARTILE(IF($F$3:$F$1460=$F94,$H$3:$H$1460),3)</f>
        <v>148.36000000000001</v>
      </c>
    </row>
    <row r="95" spans="1:13" x14ac:dyDescent="0.25">
      <c r="A95" s="7">
        <v>93</v>
      </c>
      <c r="B95" s="6" t="s">
        <v>130</v>
      </c>
      <c r="C95" s="7">
        <v>4185749</v>
      </c>
      <c r="D95" s="23" t="s">
        <v>131</v>
      </c>
      <c r="E95" s="6" t="s">
        <v>132</v>
      </c>
      <c r="F95" s="21" t="s">
        <v>31</v>
      </c>
      <c r="G95" s="6" t="s">
        <v>194</v>
      </c>
      <c r="H95" s="22">
        <v>79.099999999999994</v>
      </c>
      <c r="I95" s="9">
        <v>10</v>
      </c>
      <c r="J95" s="22">
        <f t="shared" si="1"/>
        <v>791</v>
      </c>
      <c r="K95" s="9">
        <f t="array" ref="K95">QUARTILE(IF($F$3:$F$1460=$F95,$H$3:$H$1460),1)</f>
        <v>55.5</v>
      </c>
      <c r="L95" s="9">
        <f t="array" ref="L95">QUARTILE(IF($F$3:$F$1460=$F95,$H$3:$H$1460),2)</f>
        <v>91.88</v>
      </c>
      <c r="M95" s="9">
        <f t="array" ref="M95">QUARTILE(IF($F$3:$F$1460=$F95,$H$3:$H$1460),3)</f>
        <v>148.36000000000001</v>
      </c>
    </row>
    <row r="96" spans="1:13" x14ac:dyDescent="0.25">
      <c r="A96" s="7">
        <v>94</v>
      </c>
      <c r="B96" s="6" t="s">
        <v>130</v>
      </c>
      <c r="C96" s="7">
        <v>4185749</v>
      </c>
      <c r="D96" s="23" t="s">
        <v>131</v>
      </c>
      <c r="E96" s="6" t="s">
        <v>132</v>
      </c>
      <c r="F96" s="21" t="s">
        <v>31</v>
      </c>
      <c r="G96" s="6" t="s">
        <v>195</v>
      </c>
      <c r="H96" s="22">
        <v>120.2</v>
      </c>
      <c r="I96" s="9">
        <v>5</v>
      </c>
      <c r="J96" s="22">
        <f t="shared" si="1"/>
        <v>601</v>
      </c>
      <c r="K96" s="9">
        <f t="array" ref="K96">QUARTILE(IF($F$3:$F$1460=$F96,$H$3:$H$1460),1)</f>
        <v>55.5</v>
      </c>
      <c r="L96" s="9">
        <f t="array" ref="L96">QUARTILE(IF($F$3:$F$1460=$F96,$H$3:$H$1460),2)</f>
        <v>91.88</v>
      </c>
      <c r="M96" s="9">
        <f t="array" ref="M96">QUARTILE(IF($F$3:$F$1460=$F96,$H$3:$H$1460),3)</f>
        <v>148.36000000000001</v>
      </c>
    </row>
    <row r="97" spans="1:13" x14ac:dyDescent="0.25">
      <c r="A97" s="7">
        <v>95</v>
      </c>
      <c r="B97" s="6" t="s">
        <v>130</v>
      </c>
      <c r="C97" s="7">
        <v>4185749</v>
      </c>
      <c r="D97" s="23" t="s">
        <v>131</v>
      </c>
      <c r="E97" s="6" t="s">
        <v>132</v>
      </c>
      <c r="F97" s="21" t="s">
        <v>17</v>
      </c>
      <c r="G97" s="6" t="s">
        <v>196</v>
      </c>
      <c r="H97" s="22">
        <v>12.3</v>
      </c>
      <c r="I97" s="9">
        <v>2</v>
      </c>
      <c r="J97" s="22">
        <f t="shared" si="1"/>
        <v>24.6</v>
      </c>
      <c r="K97" s="9">
        <f t="array" ref="K97">QUARTILE(IF($F$3:$F$1460=$F97,$H$3:$H$1460),1)</f>
        <v>17.549999999999997</v>
      </c>
      <c r="L97" s="9">
        <f t="array" ref="L97">QUARTILE(IF($F$3:$F$1460=$F97,$H$3:$H$1460),2)</f>
        <v>275.8</v>
      </c>
      <c r="M97" s="9">
        <f t="array" ref="M97">QUARTILE(IF($F$3:$F$1460=$F97,$H$3:$H$1460),3)</f>
        <v>11191.057499999999</v>
      </c>
    </row>
    <row r="98" spans="1:13" x14ac:dyDescent="0.25">
      <c r="A98" s="7">
        <v>96</v>
      </c>
      <c r="B98" s="6" t="s">
        <v>130</v>
      </c>
      <c r="C98" s="7">
        <v>4185749</v>
      </c>
      <c r="D98" s="23" t="s">
        <v>131</v>
      </c>
      <c r="E98" s="6" t="s">
        <v>132</v>
      </c>
      <c r="F98" s="21" t="s">
        <v>17</v>
      </c>
      <c r="G98" s="6" t="s">
        <v>197</v>
      </c>
      <c r="H98" s="22">
        <v>11.2</v>
      </c>
      <c r="I98" s="9">
        <v>2</v>
      </c>
      <c r="J98" s="22">
        <f t="shared" si="1"/>
        <v>22.4</v>
      </c>
      <c r="K98" s="9">
        <f t="array" ref="K98">QUARTILE(IF($F$3:$F$1460=$F98,$H$3:$H$1460),1)</f>
        <v>17.549999999999997</v>
      </c>
      <c r="L98" s="9">
        <f t="array" ref="L98">QUARTILE(IF($F$3:$F$1460=$F98,$H$3:$H$1460),2)</f>
        <v>275.8</v>
      </c>
      <c r="M98" s="9">
        <f t="array" ref="M98">QUARTILE(IF($F$3:$F$1460=$F98,$H$3:$H$1460),3)</f>
        <v>11191.057499999999</v>
      </c>
    </row>
    <row r="99" spans="1:13" x14ac:dyDescent="0.25">
      <c r="A99" s="7">
        <v>97</v>
      </c>
      <c r="B99" s="6" t="s">
        <v>130</v>
      </c>
      <c r="C99" s="7">
        <v>4185749</v>
      </c>
      <c r="D99" s="23" t="s">
        <v>131</v>
      </c>
      <c r="E99" s="6" t="s">
        <v>132</v>
      </c>
      <c r="F99" s="21" t="s">
        <v>27</v>
      </c>
      <c r="G99" s="6" t="s">
        <v>198</v>
      </c>
      <c r="H99" s="22">
        <v>32.299999999999997</v>
      </c>
      <c r="I99" s="9">
        <v>20</v>
      </c>
      <c r="J99" s="22">
        <f t="shared" si="1"/>
        <v>646</v>
      </c>
      <c r="K99" s="9">
        <f t="array" ref="K99">QUARTILE(IF($F$3:$F$1460=$F99,$H$3:$H$1460),1)</f>
        <v>35.864999999999995</v>
      </c>
      <c r="L99" s="9">
        <f t="array" ref="L99">QUARTILE(IF($F$3:$F$1460=$F99,$H$3:$H$1460),2)</f>
        <v>54.65</v>
      </c>
      <c r="M99" s="9">
        <f t="array" ref="M99">QUARTILE(IF($F$3:$F$1460=$F99,$H$3:$H$1460),3)</f>
        <v>66.5</v>
      </c>
    </row>
    <row r="100" spans="1:13" x14ac:dyDescent="0.25">
      <c r="A100" s="7">
        <v>98</v>
      </c>
      <c r="B100" s="6" t="s">
        <v>130</v>
      </c>
      <c r="C100" s="7">
        <v>4185749</v>
      </c>
      <c r="D100" s="23" t="s">
        <v>131</v>
      </c>
      <c r="E100" s="6" t="s">
        <v>132</v>
      </c>
      <c r="F100" s="21" t="s">
        <v>27</v>
      </c>
      <c r="G100" s="6" t="s">
        <v>199</v>
      </c>
      <c r="H100" s="22">
        <v>54.7</v>
      </c>
      <c r="I100" s="9">
        <v>10</v>
      </c>
      <c r="J100" s="22">
        <f t="shared" si="1"/>
        <v>547</v>
      </c>
      <c r="K100" s="9">
        <f t="array" ref="K100">QUARTILE(IF($F$3:$F$1460=$F100,$H$3:$H$1460),1)</f>
        <v>35.864999999999995</v>
      </c>
      <c r="L100" s="9">
        <f t="array" ref="L100">QUARTILE(IF($F$3:$F$1460=$F100,$H$3:$H$1460),2)</f>
        <v>54.65</v>
      </c>
      <c r="M100" s="9">
        <f t="array" ref="M100">QUARTILE(IF($F$3:$F$1460=$F100,$H$3:$H$1460),3)</f>
        <v>66.5</v>
      </c>
    </row>
    <row r="101" spans="1:13" x14ac:dyDescent="0.25">
      <c r="A101" s="7">
        <v>99</v>
      </c>
      <c r="B101" s="6" t="s">
        <v>130</v>
      </c>
      <c r="C101" s="7">
        <v>4185749</v>
      </c>
      <c r="D101" s="23" t="s">
        <v>131</v>
      </c>
      <c r="E101" s="6" t="s">
        <v>132</v>
      </c>
      <c r="F101" s="21" t="s">
        <v>27</v>
      </c>
      <c r="G101" s="6" t="s">
        <v>200</v>
      </c>
      <c r="H101" s="22">
        <v>95.8</v>
      </c>
      <c r="I101" s="9">
        <v>5</v>
      </c>
      <c r="J101" s="22">
        <f t="shared" si="1"/>
        <v>479</v>
      </c>
      <c r="K101" s="9">
        <f t="array" ref="K101">QUARTILE(IF($F$3:$F$1460=$F101,$H$3:$H$1460),1)</f>
        <v>35.864999999999995</v>
      </c>
      <c r="L101" s="9">
        <f t="array" ref="L101">QUARTILE(IF($F$3:$F$1460=$F101,$H$3:$H$1460),2)</f>
        <v>54.65</v>
      </c>
      <c r="M101" s="9">
        <f t="array" ref="M101">QUARTILE(IF($F$3:$F$1460=$F101,$H$3:$H$1460),3)</f>
        <v>66.5</v>
      </c>
    </row>
    <row r="102" spans="1:13" x14ac:dyDescent="0.25">
      <c r="A102" s="7">
        <v>100</v>
      </c>
      <c r="B102" s="6" t="s">
        <v>130</v>
      </c>
      <c r="C102" s="7">
        <v>4185749</v>
      </c>
      <c r="D102" s="23" t="s">
        <v>131</v>
      </c>
      <c r="E102" s="6" t="s">
        <v>132</v>
      </c>
      <c r="F102" s="21" t="s">
        <v>31</v>
      </c>
      <c r="G102" s="6" t="s">
        <v>201</v>
      </c>
      <c r="H102" s="22">
        <v>43.6</v>
      </c>
      <c r="I102" s="9">
        <v>5</v>
      </c>
      <c r="J102" s="22">
        <f>I102*H102</f>
        <v>218</v>
      </c>
      <c r="K102" s="9">
        <f t="array" ref="K102">QUARTILE(IF($F$3:$F$1460=$F102,$H$3:$H$1460),1)</f>
        <v>55.5</v>
      </c>
      <c r="L102" s="9">
        <f t="array" ref="L102">QUARTILE(IF($F$3:$F$1460=$F102,$H$3:$H$1460),2)</f>
        <v>91.88</v>
      </c>
      <c r="M102" s="9">
        <f t="array" ref="M102">QUARTILE(IF($F$3:$F$1460=$F102,$H$3:$H$1460),3)</f>
        <v>148.36000000000001</v>
      </c>
    </row>
    <row r="103" spans="1:13" x14ac:dyDescent="0.25">
      <c r="A103" s="7">
        <v>101</v>
      </c>
      <c r="B103" s="6" t="s">
        <v>130</v>
      </c>
      <c r="C103" s="7">
        <v>4185749</v>
      </c>
      <c r="D103" s="23" t="s">
        <v>131</v>
      </c>
      <c r="E103" s="6" t="s">
        <v>132</v>
      </c>
      <c r="F103" s="21" t="s">
        <v>31</v>
      </c>
      <c r="G103" s="6" t="s">
        <v>202</v>
      </c>
      <c r="H103" s="22">
        <v>60.2</v>
      </c>
      <c r="I103" s="9">
        <v>5</v>
      </c>
      <c r="J103" s="22">
        <f>I103*H103</f>
        <v>301</v>
      </c>
      <c r="K103" s="9">
        <f t="array" ref="K103">QUARTILE(IF($F$3:$F$1460=$F103,$H$3:$H$1460),1)</f>
        <v>55.5</v>
      </c>
      <c r="L103" s="9">
        <f t="array" ref="L103">QUARTILE(IF($F$3:$F$1460=$F103,$H$3:$H$1460),2)</f>
        <v>91.88</v>
      </c>
      <c r="M103" s="9">
        <f t="array" ref="M103">QUARTILE(IF($F$3:$F$1460=$F103,$H$3:$H$1460),3)</f>
        <v>148.36000000000001</v>
      </c>
    </row>
    <row r="104" spans="1:13" x14ac:dyDescent="0.25">
      <c r="A104" s="7">
        <v>102</v>
      </c>
      <c r="B104" s="6" t="s">
        <v>130</v>
      </c>
      <c r="C104" s="7">
        <v>4185749</v>
      </c>
      <c r="D104" s="23" t="s">
        <v>131</v>
      </c>
      <c r="E104" s="6" t="s">
        <v>132</v>
      </c>
      <c r="F104" s="21" t="s">
        <v>31</v>
      </c>
      <c r="G104" s="6" t="s">
        <v>203</v>
      </c>
      <c r="H104" s="22">
        <v>87.8</v>
      </c>
      <c r="I104" s="9">
        <v>5</v>
      </c>
      <c r="J104" s="22">
        <f t="shared" ref="J104:J251" si="2">I104*H104</f>
        <v>439</v>
      </c>
      <c r="K104" s="9">
        <f t="array" ref="K104">QUARTILE(IF($F$3:$F$1460=$F104,$H$3:$H$1460),1)</f>
        <v>55.5</v>
      </c>
      <c r="L104" s="9">
        <f t="array" ref="L104">QUARTILE(IF($F$3:$F$1460=$F104,$H$3:$H$1460),2)</f>
        <v>91.88</v>
      </c>
      <c r="M104" s="9">
        <f t="array" ref="M104">QUARTILE(IF($F$3:$F$1460=$F104,$H$3:$H$1460),3)</f>
        <v>148.36000000000001</v>
      </c>
    </row>
    <row r="105" spans="1:13" x14ac:dyDescent="0.25">
      <c r="A105" s="7">
        <v>103</v>
      </c>
      <c r="B105" s="6" t="s">
        <v>130</v>
      </c>
      <c r="C105" s="7">
        <v>4185749</v>
      </c>
      <c r="D105" s="23" t="s">
        <v>131</v>
      </c>
      <c r="E105" s="6" t="s">
        <v>132</v>
      </c>
      <c r="F105" s="21" t="s">
        <v>31</v>
      </c>
      <c r="G105" s="6" t="s">
        <v>204</v>
      </c>
      <c r="H105" s="22">
        <v>101.3</v>
      </c>
      <c r="I105" s="9">
        <v>5</v>
      </c>
      <c r="J105" s="22">
        <f t="shared" si="2"/>
        <v>506.5</v>
      </c>
      <c r="K105" s="9">
        <f t="array" ref="K105">QUARTILE(IF($F$3:$F$1460=$F105,$H$3:$H$1460),1)</f>
        <v>55.5</v>
      </c>
      <c r="L105" s="9">
        <f t="array" ref="L105">QUARTILE(IF($F$3:$F$1460=$F105,$H$3:$H$1460),2)</f>
        <v>91.88</v>
      </c>
      <c r="M105" s="9">
        <f t="array" ref="M105">QUARTILE(IF($F$3:$F$1460=$F105,$H$3:$H$1460),3)</f>
        <v>148.36000000000001</v>
      </c>
    </row>
    <row r="106" spans="1:13" x14ac:dyDescent="0.25">
      <c r="A106" s="7">
        <v>104</v>
      </c>
      <c r="B106" s="6" t="s">
        <v>130</v>
      </c>
      <c r="C106" s="7">
        <v>4185749</v>
      </c>
      <c r="D106" s="23" t="s">
        <v>131</v>
      </c>
      <c r="E106" s="6" t="s">
        <v>132</v>
      </c>
      <c r="F106" s="21" t="s">
        <v>31</v>
      </c>
      <c r="G106" s="6" t="s">
        <v>205</v>
      </c>
      <c r="H106" s="22">
        <v>55.5</v>
      </c>
      <c r="I106" s="9">
        <v>20</v>
      </c>
      <c r="J106" s="22">
        <f t="shared" si="2"/>
        <v>1110</v>
      </c>
      <c r="K106" s="9">
        <f t="array" ref="K106">QUARTILE(IF($F$3:$F$1460=$F106,$H$3:$H$1460),1)</f>
        <v>55.5</v>
      </c>
      <c r="L106" s="9">
        <f t="array" ref="L106">QUARTILE(IF($F$3:$F$1460=$F106,$H$3:$H$1460),2)</f>
        <v>91.88</v>
      </c>
      <c r="M106" s="9">
        <f t="array" ref="M106">QUARTILE(IF($F$3:$F$1460=$F106,$H$3:$H$1460),3)</f>
        <v>148.36000000000001</v>
      </c>
    </row>
    <row r="107" spans="1:13" x14ac:dyDescent="0.25">
      <c r="A107" s="7">
        <v>105</v>
      </c>
      <c r="B107" s="6" t="s">
        <v>130</v>
      </c>
      <c r="C107" s="7">
        <v>4185749</v>
      </c>
      <c r="D107" s="23" t="s">
        <v>131</v>
      </c>
      <c r="E107" s="6" t="s">
        <v>132</v>
      </c>
      <c r="F107" s="21" t="s">
        <v>31</v>
      </c>
      <c r="G107" s="6" t="s">
        <v>206</v>
      </c>
      <c r="H107" s="22">
        <v>97.3</v>
      </c>
      <c r="I107" s="9">
        <v>10</v>
      </c>
      <c r="J107" s="22">
        <f t="shared" si="2"/>
        <v>973</v>
      </c>
      <c r="K107" s="9">
        <f t="array" ref="K107">QUARTILE(IF($F$3:$F$1460=$F107,$H$3:$H$1460),1)</f>
        <v>55.5</v>
      </c>
      <c r="L107" s="9">
        <f t="array" ref="L107">QUARTILE(IF($F$3:$F$1460=$F107,$H$3:$H$1460),2)</f>
        <v>91.88</v>
      </c>
      <c r="M107" s="9">
        <f t="array" ref="M107">QUARTILE(IF($F$3:$F$1460=$F107,$H$3:$H$1460),3)</f>
        <v>148.36000000000001</v>
      </c>
    </row>
    <row r="108" spans="1:13" x14ac:dyDescent="0.25">
      <c r="A108" s="7">
        <v>106</v>
      </c>
      <c r="B108" s="6" t="s">
        <v>130</v>
      </c>
      <c r="C108" s="7">
        <v>4185749</v>
      </c>
      <c r="D108" s="23" t="s">
        <v>131</v>
      </c>
      <c r="E108" s="6" t="s">
        <v>132</v>
      </c>
      <c r="F108" s="21" t="s">
        <v>31</v>
      </c>
      <c r="G108" s="6" t="s">
        <v>207</v>
      </c>
      <c r="H108" s="22">
        <v>143.80000000000001</v>
      </c>
      <c r="I108" s="9">
        <v>5</v>
      </c>
      <c r="J108" s="22">
        <f t="shared" si="2"/>
        <v>719</v>
      </c>
      <c r="K108" s="9">
        <f t="array" ref="K108">QUARTILE(IF($F$3:$F$1460=$F108,$H$3:$H$1460),1)</f>
        <v>55.5</v>
      </c>
      <c r="L108" s="9">
        <f t="array" ref="L108">QUARTILE(IF($F$3:$F$1460=$F108,$H$3:$H$1460),2)</f>
        <v>91.88</v>
      </c>
      <c r="M108" s="9">
        <f t="array" ref="M108">QUARTILE(IF($F$3:$F$1460=$F108,$H$3:$H$1460),3)</f>
        <v>148.36000000000001</v>
      </c>
    </row>
    <row r="109" spans="1:13" x14ac:dyDescent="0.25">
      <c r="A109" s="7">
        <v>107</v>
      </c>
      <c r="B109" s="6" t="s">
        <v>130</v>
      </c>
      <c r="C109" s="7">
        <v>4185749</v>
      </c>
      <c r="D109" s="23" t="s">
        <v>131</v>
      </c>
      <c r="E109" s="6" t="s">
        <v>132</v>
      </c>
      <c r="F109" s="21" t="s">
        <v>31</v>
      </c>
      <c r="G109" s="6" t="s">
        <v>208</v>
      </c>
      <c r="H109" s="22">
        <v>57.9</v>
      </c>
      <c r="I109" s="9">
        <v>5</v>
      </c>
      <c r="J109" s="22">
        <f t="shared" si="2"/>
        <v>289.5</v>
      </c>
      <c r="K109" s="9">
        <f t="array" ref="K109">QUARTILE(IF($F$3:$F$1460=$F109,$H$3:$H$1460),1)</f>
        <v>55.5</v>
      </c>
      <c r="L109" s="9">
        <f t="array" ref="L109">QUARTILE(IF($F$3:$F$1460=$F109,$H$3:$H$1460),2)</f>
        <v>91.88</v>
      </c>
      <c r="M109" s="9">
        <f t="array" ref="M109">QUARTILE(IF($F$3:$F$1460=$F109,$H$3:$H$1460),3)</f>
        <v>148.36000000000001</v>
      </c>
    </row>
    <row r="110" spans="1:13" x14ac:dyDescent="0.25">
      <c r="A110" s="7">
        <v>108</v>
      </c>
      <c r="B110" s="6" t="s">
        <v>130</v>
      </c>
      <c r="C110" s="7">
        <v>4185749</v>
      </c>
      <c r="D110" s="23" t="s">
        <v>131</v>
      </c>
      <c r="E110" s="6" t="s">
        <v>132</v>
      </c>
      <c r="F110" s="21" t="s">
        <v>31</v>
      </c>
      <c r="G110" s="6" t="s">
        <v>209</v>
      </c>
      <c r="H110" s="22">
        <v>99.5</v>
      </c>
      <c r="I110" s="9">
        <v>5</v>
      </c>
      <c r="J110" s="22">
        <f t="shared" si="2"/>
        <v>497.5</v>
      </c>
      <c r="K110" s="9">
        <f t="array" ref="K110">QUARTILE(IF($F$3:$F$1460=$F110,$H$3:$H$1460),1)</f>
        <v>55.5</v>
      </c>
      <c r="L110" s="9">
        <f t="array" ref="L110">QUARTILE(IF($F$3:$F$1460=$F110,$H$3:$H$1460),2)</f>
        <v>91.88</v>
      </c>
      <c r="M110" s="9">
        <f t="array" ref="M110">QUARTILE(IF($F$3:$F$1460=$F110,$H$3:$H$1460),3)</f>
        <v>148.36000000000001</v>
      </c>
    </row>
    <row r="111" spans="1:13" x14ac:dyDescent="0.25">
      <c r="A111" s="7">
        <v>109</v>
      </c>
      <c r="B111" s="6" t="s">
        <v>130</v>
      </c>
      <c r="C111" s="7">
        <v>4185749</v>
      </c>
      <c r="D111" s="23" t="s">
        <v>131</v>
      </c>
      <c r="E111" s="6" t="s">
        <v>132</v>
      </c>
      <c r="F111" s="21" t="s">
        <v>31</v>
      </c>
      <c r="G111" s="6" t="s">
        <v>210</v>
      </c>
      <c r="H111" s="22">
        <v>100.4</v>
      </c>
      <c r="I111" s="9">
        <v>5</v>
      </c>
      <c r="J111" s="22">
        <f t="shared" si="2"/>
        <v>502</v>
      </c>
      <c r="K111" s="9">
        <f t="array" ref="K111">QUARTILE(IF($F$3:$F$1460=$F111,$H$3:$H$1460),1)</f>
        <v>55.5</v>
      </c>
      <c r="L111" s="9">
        <f t="array" ref="L111">QUARTILE(IF($F$3:$F$1460=$F111,$H$3:$H$1460),2)</f>
        <v>91.88</v>
      </c>
      <c r="M111" s="9">
        <f t="array" ref="M111">QUARTILE(IF($F$3:$F$1460=$F111,$H$3:$H$1460),3)</f>
        <v>148.36000000000001</v>
      </c>
    </row>
    <row r="112" spans="1:13" x14ac:dyDescent="0.25">
      <c r="A112" s="7">
        <v>110</v>
      </c>
      <c r="B112" s="6" t="s">
        <v>130</v>
      </c>
      <c r="C112" s="7">
        <v>4185749</v>
      </c>
      <c r="D112" s="23" t="s">
        <v>131</v>
      </c>
      <c r="E112" s="6" t="s">
        <v>132</v>
      </c>
      <c r="F112" s="21" t="s">
        <v>20</v>
      </c>
      <c r="G112" s="6" t="s">
        <v>211</v>
      </c>
      <c r="H112" s="22">
        <v>24.7</v>
      </c>
      <c r="I112" s="9">
        <v>20</v>
      </c>
      <c r="J112" s="22">
        <f t="shared" si="2"/>
        <v>494</v>
      </c>
      <c r="K112" s="9">
        <f t="array" ref="K112">QUARTILE(IF($F$3:$F$1460=$F112,$H$3:$H$1460),1)</f>
        <v>22.082500000000003</v>
      </c>
      <c r="L112" s="9">
        <f t="array" ref="L112">QUARTILE(IF($F$3:$F$1460=$F112,$H$3:$H$1460),2)</f>
        <v>31.15</v>
      </c>
      <c r="M112" s="9">
        <f t="array" ref="M112">QUARTILE(IF($F$3:$F$1460=$F112,$H$3:$H$1460),3)</f>
        <v>48.125</v>
      </c>
    </row>
    <row r="113" spans="1:13" x14ac:dyDescent="0.25">
      <c r="A113" s="7">
        <v>111</v>
      </c>
      <c r="B113" s="6" t="s">
        <v>130</v>
      </c>
      <c r="C113" s="7">
        <v>4185749</v>
      </c>
      <c r="D113" s="23" t="s">
        <v>131</v>
      </c>
      <c r="E113" s="6" t="s">
        <v>132</v>
      </c>
      <c r="F113" s="21" t="s">
        <v>20</v>
      </c>
      <c r="G113" s="6" t="s">
        <v>212</v>
      </c>
      <c r="H113" s="22">
        <v>16.399999999999999</v>
      </c>
      <c r="I113" s="9">
        <v>20</v>
      </c>
      <c r="J113" s="22">
        <f t="shared" si="2"/>
        <v>328</v>
      </c>
      <c r="K113" s="9">
        <f t="array" ref="K113">QUARTILE(IF($F$3:$F$1460=$F113,$H$3:$H$1460),1)</f>
        <v>22.082500000000003</v>
      </c>
      <c r="L113" s="9">
        <f t="array" ref="L113">QUARTILE(IF($F$3:$F$1460=$F113,$H$3:$H$1460),2)</f>
        <v>31.15</v>
      </c>
      <c r="M113" s="9">
        <f t="array" ref="M113">QUARTILE(IF($F$3:$F$1460=$F113,$H$3:$H$1460),3)</f>
        <v>48.125</v>
      </c>
    </row>
    <row r="114" spans="1:13" x14ac:dyDescent="0.25">
      <c r="A114" s="7">
        <v>112</v>
      </c>
      <c r="B114" s="6" t="s">
        <v>130</v>
      </c>
      <c r="C114" s="7">
        <v>4185749</v>
      </c>
      <c r="D114" s="23" t="s">
        <v>131</v>
      </c>
      <c r="E114" s="6" t="s">
        <v>132</v>
      </c>
      <c r="F114" s="21" t="s">
        <v>20</v>
      </c>
      <c r="G114" s="6" t="s">
        <v>213</v>
      </c>
      <c r="H114" s="22">
        <v>33.799999999999997</v>
      </c>
      <c r="I114" s="9">
        <v>5</v>
      </c>
      <c r="J114" s="22">
        <f t="shared" si="2"/>
        <v>169</v>
      </c>
      <c r="K114" s="9">
        <f t="array" ref="K114">QUARTILE(IF($F$3:$F$1460=$F114,$H$3:$H$1460),1)</f>
        <v>22.082500000000003</v>
      </c>
      <c r="L114" s="9">
        <f t="array" ref="L114">QUARTILE(IF($F$3:$F$1460=$F114,$H$3:$H$1460),2)</f>
        <v>31.15</v>
      </c>
      <c r="M114" s="9">
        <f t="array" ref="M114">QUARTILE(IF($F$3:$F$1460=$F114,$H$3:$H$1460),3)</f>
        <v>48.125</v>
      </c>
    </row>
    <row r="115" spans="1:13" x14ac:dyDescent="0.25">
      <c r="A115" s="7">
        <v>113</v>
      </c>
      <c r="B115" s="6" t="s">
        <v>130</v>
      </c>
      <c r="C115" s="7">
        <v>4185749</v>
      </c>
      <c r="D115" s="23" t="s">
        <v>131</v>
      </c>
      <c r="E115" s="6" t="s">
        <v>132</v>
      </c>
      <c r="F115" s="21" t="s">
        <v>20</v>
      </c>
      <c r="G115" s="6" t="s">
        <v>214</v>
      </c>
      <c r="H115" s="22">
        <v>17.100000000000001</v>
      </c>
      <c r="I115" s="9">
        <v>5</v>
      </c>
      <c r="J115" s="22">
        <f t="shared" si="2"/>
        <v>85.5</v>
      </c>
      <c r="K115" s="9">
        <f t="array" ref="K115">QUARTILE(IF($F$3:$F$1460=$F115,$H$3:$H$1460),1)</f>
        <v>22.082500000000003</v>
      </c>
      <c r="L115" s="9">
        <f t="array" ref="L115">QUARTILE(IF($F$3:$F$1460=$F115,$H$3:$H$1460),2)</f>
        <v>31.15</v>
      </c>
      <c r="M115" s="9">
        <f t="array" ref="M115">QUARTILE(IF($F$3:$F$1460=$F115,$H$3:$H$1460),3)</f>
        <v>48.125</v>
      </c>
    </row>
    <row r="116" spans="1:13" x14ac:dyDescent="0.25">
      <c r="A116" s="7">
        <v>114</v>
      </c>
      <c r="B116" s="6" t="s">
        <v>130</v>
      </c>
      <c r="C116" s="7">
        <v>4185749</v>
      </c>
      <c r="D116" s="23" t="s">
        <v>131</v>
      </c>
      <c r="E116" s="6" t="s">
        <v>132</v>
      </c>
      <c r="F116" s="21" t="s">
        <v>20</v>
      </c>
      <c r="G116" s="6" t="s">
        <v>215</v>
      </c>
      <c r="H116" s="22">
        <v>31.5</v>
      </c>
      <c r="I116" s="9">
        <v>5</v>
      </c>
      <c r="J116" s="22">
        <f t="shared" si="2"/>
        <v>157.5</v>
      </c>
      <c r="K116" s="9">
        <f t="array" ref="K116">QUARTILE(IF($F$3:$F$1460=$F116,$H$3:$H$1460),1)</f>
        <v>22.082500000000003</v>
      </c>
      <c r="L116" s="9">
        <f t="array" ref="L116">QUARTILE(IF($F$3:$F$1460=$F116,$H$3:$H$1460),2)</f>
        <v>31.15</v>
      </c>
      <c r="M116" s="9">
        <f t="array" ref="M116">QUARTILE(IF($F$3:$F$1460=$F116,$H$3:$H$1460),3)</f>
        <v>48.125</v>
      </c>
    </row>
    <row r="117" spans="1:13" x14ac:dyDescent="0.25">
      <c r="A117" s="7">
        <v>115</v>
      </c>
      <c r="B117" s="6" t="s">
        <v>130</v>
      </c>
      <c r="C117" s="7">
        <v>4185749</v>
      </c>
      <c r="D117" s="23" t="s">
        <v>131</v>
      </c>
      <c r="E117" s="6" t="s">
        <v>132</v>
      </c>
      <c r="F117" s="21" t="s">
        <v>20</v>
      </c>
      <c r="G117" s="6" t="s">
        <v>216</v>
      </c>
      <c r="H117" s="22">
        <v>60.3</v>
      </c>
      <c r="I117" s="9">
        <v>5</v>
      </c>
      <c r="J117" s="22">
        <f t="shared" si="2"/>
        <v>301.5</v>
      </c>
      <c r="K117" s="9">
        <f t="array" ref="K117">QUARTILE(IF($F$3:$F$1460=$F117,$H$3:$H$1460),1)</f>
        <v>22.082500000000003</v>
      </c>
      <c r="L117" s="9">
        <f t="array" ref="L117">QUARTILE(IF($F$3:$F$1460=$F117,$H$3:$H$1460),2)</f>
        <v>31.15</v>
      </c>
      <c r="M117" s="9">
        <f t="array" ref="M117">QUARTILE(IF($F$3:$F$1460=$F117,$H$3:$H$1460),3)</f>
        <v>48.125</v>
      </c>
    </row>
    <row r="118" spans="1:13" x14ac:dyDescent="0.25">
      <c r="A118" s="7">
        <v>116</v>
      </c>
      <c r="B118" s="6" t="s">
        <v>130</v>
      </c>
      <c r="C118" s="7">
        <v>4185749</v>
      </c>
      <c r="D118" s="23" t="s">
        <v>131</v>
      </c>
      <c r="E118" s="6" t="s">
        <v>132</v>
      </c>
      <c r="F118" s="21" t="s">
        <v>20</v>
      </c>
      <c r="G118" s="6" t="s">
        <v>217</v>
      </c>
      <c r="H118" s="22">
        <v>23.9</v>
      </c>
      <c r="I118" s="9">
        <v>10</v>
      </c>
      <c r="J118" s="22">
        <f t="shared" si="2"/>
        <v>239</v>
      </c>
      <c r="K118" s="9">
        <f t="array" ref="K118">QUARTILE(IF($F$3:$F$1460=$F118,$H$3:$H$1460),1)</f>
        <v>22.082500000000003</v>
      </c>
      <c r="L118" s="9">
        <f t="array" ref="L118">QUARTILE(IF($F$3:$F$1460=$F118,$H$3:$H$1460),2)</f>
        <v>31.15</v>
      </c>
      <c r="M118" s="9">
        <f t="array" ref="M118">QUARTILE(IF($F$3:$F$1460=$F118,$H$3:$H$1460),3)</f>
        <v>48.125</v>
      </c>
    </row>
    <row r="119" spans="1:13" x14ac:dyDescent="0.25">
      <c r="A119" s="7">
        <v>117</v>
      </c>
      <c r="B119" s="6" t="s">
        <v>130</v>
      </c>
      <c r="C119" s="7">
        <v>4185749</v>
      </c>
      <c r="D119" s="23" t="s">
        <v>131</v>
      </c>
      <c r="E119" s="6" t="s">
        <v>132</v>
      </c>
      <c r="F119" s="21" t="s">
        <v>20</v>
      </c>
      <c r="G119" s="6" t="s">
        <v>218</v>
      </c>
      <c r="H119" s="22">
        <v>16.399999999999999</v>
      </c>
      <c r="I119" s="9">
        <v>5</v>
      </c>
      <c r="J119" s="22">
        <f t="shared" si="2"/>
        <v>82</v>
      </c>
      <c r="K119" s="9">
        <f t="array" ref="K119">QUARTILE(IF($F$3:$F$1460=$F119,$H$3:$H$1460),1)</f>
        <v>22.082500000000003</v>
      </c>
      <c r="L119" s="9">
        <f t="array" ref="L119">QUARTILE(IF($F$3:$F$1460=$F119,$H$3:$H$1460),2)</f>
        <v>31.15</v>
      </c>
      <c r="M119" s="9">
        <f t="array" ref="M119">QUARTILE(IF($F$3:$F$1460=$F119,$H$3:$H$1460),3)</f>
        <v>48.125</v>
      </c>
    </row>
    <row r="120" spans="1:13" x14ac:dyDescent="0.25">
      <c r="A120" s="7">
        <v>118</v>
      </c>
      <c r="B120" s="6" t="s">
        <v>130</v>
      </c>
      <c r="C120" s="7">
        <v>4185749</v>
      </c>
      <c r="D120" s="23" t="s">
        <v>131</v>
      </c>
      <c r="E120" s="6" t="s">
        <v>132</v>
      </c>
      <c r="F120" s="21" t="s">
        <v>20</v>
      </c>
      <c r="G120" s="6" t="s">
        <v>219</v>
      </c>
      <c r="H120" s="22">
        <v>33.799999999999997</v>
      </c>
      <c r="I120" s="9">
        <v>5</v>
      </c>
      <c r="J120" s="22">
        <f t="shared" si="2"/>
        <v>169</v>
      </c>
      <c r="K120" s="9">
        <f t="array" ref="K120">QUARTILE(IF($F$3:$F$1460=$F120,$H$3:$H$1460),1)</f>
        <v>22.082500000000003</v>
      </c>
      <c r="L120" s="9">
        <f t="array" ref="L120">QUARTILE(IF($F$3:$F$1460=$F120,$H$3:$H$1460),2)</f>
        <v>31.15</v>
      </c>
      <c r="M120" s="9">
        <f t="array" ref="M120">QUARTILE(IF($F$3:$F$1460=$F120,$H$3:$H$1460),3)</f>
        <v>48.125</v>
      </c>
    </row>
    <row r="121" spans="1:13" x14ac:dyDescent="0.25">
      <c r="A121" s="7">
        <v>119</v>
      </c>
      <c r="B121" s="6" t="s">
        <v>130</v>
      </c>
      <c r="C121" s="7">
        <v>4185749</v>
      </c>
      <c r="D121" s="23" t="s">
        <v>131</v>
      </c>
      <c r="E121" s="6" t="s">
        <v>132</v>
      </c>
      <c r="F121" s="21" t="s">
        <v>20</v>
      </c>
      <c r="G121" s="6" t="s">
        <v>220</v>
      </c>
      <c r="H121" s="22">
        <v>17.100000000000001</v>
      </c>
      <c r="I121" s="9">
        <v>5</v>
      </c>
      <c r="J121" s="22">
        <f t="shared" si="2"/>
        <v>85.5</v>
      </c>
      <c r="K121" s="9">
        <f t="array" ref="K121">QUARTILE(IF($F$3:$F$1460=$F121,$H$3:$H$1460),1)</f>
        <v>22.082500000000003</v>
      </c>
      <c r="L121" s="9">
        <f t="array" ref="L121">QUARTILE(IF($F$3:$F$1460=$F121,$H$3:$H$1460),2)</f>
        <v>31.15</v>
      </c>
      <c r="M121" s="9">
        <f t="array" ref="M121">QUARTILE(IF($F$3:$F$1460=$F121,$H$3:$H$1460),3)</f>
        <v>48.125</v>
      </c>
    </row>
    <row r="122" spans="1:13" x14ac:dyDescent="0.25">
      <c r="A122" s="7">
        <v>120</v>
      </c>
      <c r="B122" s="6" t="s">
        <v>130</v>
      </c>
      <c r="C122" s="7">
        <v>4185749</v>
      </c>
      <c r="D122" s="23" t="s">
        <v>131</v>
      </c>
      <c r="E122" s="6" t="s">
        <v>132</v>
      </c>
      <c r="F122" s="21" t="s">
        <v>20</v>
      </c>
      <c r="G122" s="6" t="s">
        <v>221</v>
      </c>
      <c r="H122" s="22">
        <v>31.5</v>
      </c>
      <c r="I122" s="9">
        <v>5</v>
      </c>
      <c r="J122" s="22">
        <f t="shared" si="2"/>
        <v>157.5</v>
      </c>
      <c r="K122" s="9">
        <f t="array" ref="K122">QUARTILE(IF($F$3:$F$1460=$F122,$H$3:$H$1460),1)</f>
        <v>22.082500000000003</v>
      </c>
      <c r="L122" s="9">
        <f t="array" ref="L122">QUARTILE(IF($F$3:$F$1460=$F122,$H$3:$H$1460),2)</f>
        <v>31.15</v>
      </c>
      <c r="M122" s="9">
        <f t="array" ref="M122">QUARTILE(IF($F$3:$F$1460=$F122,$H$3:$H$1460),3)</f>
        <v>48.125</v>
      </c>
    </row>
    <row r="123" spans="1:13" x14ac:dyDescent="0.25">
      <c r="A123" s="7">
        <v>121</v>
      </c>
      <c r="B123" s="6" t="s">
        <v>130</v>
      </c>
      <c r="C123" s="7">
        <v>4185749</v>
      </c>
      <c r="D123" s="23" t="s">
        <v>131</v>
      </c>
      <c r="E123" s="6" t="s">
        <v>132</v>
      </c>
      <c r="F123" s="21" t="s">
        <v>20</v>
      </c>
      <c r="G123" s="6" t="s">
        <v>222</v>
      </c>
      <c r="H123" s="22">
        <v>62.3</v>
      </c>
      <c r="I123" s="9">
        <v>5</v>
      </c>
      <c r="J123" s="22">
        <f t="shared" si="2"/>
        <v>311.5</v>
      </c>
      <c r="K123" s="9">
        <f t="array" ref="K123">QUARTILE(IF($F$3:$F$1460=$F123,$H$3:$H$1460),1)</f>
        <v>22.082500000000003</v>
      </c>
      <c r="L123" s="9">
        <f t="array" ref="L123">QUARTILE(IF($F$3:$F$1460=$F123,$H$3:$H$1460),2)</f>
        <v>31.15</v>
      </c>
      <c r="M123" s="9">
        <f t="array" ref="M123">QUARTILE(IF($F$3:$F$1460=$F123,$H$3:$H$1460),3)</f>
        <v>48.125</v>
      </c>
    </row>
    <row r="124" spans="1:13" x14ac:dyDescent="0.25">
      <c r="A124" s="7">
        <v>122</v>
      </c>
      <c r="B124" s="6" t="s">
        <v>130</v>
      </c>
      <c r="C124" s="7">
        <v>4185749</v>
      </c>
      <c r="D124" s="23" t="s">
        <v>131</v>
      </c>
      <c r="E124" s="6" t="s">
        <v>132</v>
      </c>
      <c r="F124" s="21" t="s">
        <v>30</v>
      </c>
      <c r="G124" s="6" t="s">
        <v>223</v>
      </c>
      <c r="H124" s="22">
        <v>46.4</v>
      </c>
      <c r="I124" s="9">
        <v>5</v>
      </c>
      <c r="J124" s="22">
        <f t="shared" si="2"/>
        <v>232</v>
      </c>
      <c r="K124" s="9">
        <f t="array" ref="K124">QUARTILE(IF($F$3:$F$1460=$F124,$H$3:$H$1460),1)</f>
        <v>47.47</v>
      </c>
      <c r="L124" s="9">
        <f t="array" ref="L124">QUARTILE(IF($F$3:$F$1460=$F124,$H$3:$H$1460),2)</f>
        <v>86.69</v>
      </c>
      <c r="M124" s="9">
        <f t="array" ref="M124">QUARTILE(IF($F$3:$F$1460=$F124,$H$3:$H$1460),3)</f>
        <v>146.42500000000001</v>
      </c>
    </row>
    <row r="125" spans="1:13" x14ac:dyDescent="0.25">
      <c r="A125" s="7">
        <v>123</v>
      </c>
      <c r="B125" s="6" t="s">
        <v>130</v>
      </c>
      <c r="C125" s="7">
        <v>4185749</v>
      </c>
      <c r="D125" s="23" t="s">
        <v>131</v>
      </c>
      <c r="E125" s="6" t="s">
        <v>132</v>
      </c>
      <c r="F125" s="21" t="s">
        <v>30</v>
      </c>
      <c r="G125" s="6" t="s">
        <v>224</v>
      </c>
      <c r="H125" s="22">
        <v>88.2</v>
      </c>
      <c r="I125" s="9">
        <v>5</v>
      </c>
      <c r="J125" s="22">
        <f t="shared" si="2"/>
        <v>441</v>
      </c>
      <c r="K125" s="9">
        <f t="array" ref="K125">QUARTILE(IF($F$3:$F$1460=$F125,$H$3:$H$1460),1)</f>
        <v>47.47</v>
      </c>
      <c r="L125" s="9">
        <f t="array" ref="L125">QUARTILE(IF($F$3:$F$1460=$F125,$H$3:$H$1460),2)</f>
        <v>86.69</v>
      </c>
      <c r="M125" s="9">
        <f t="array" ref="M125">QUARTILE(IF($F$3:$F$1460=$F125,$H$3:$H$1460),3)</f>
        <v>146.42500000000001</v>
      </c>
    </row>
    <row r="126" spans="1:13" x14ac:dyDescent="0.25">
      <c r="A126" s="7">
        <v>124</v>
      </c>
      <c r="B126" s="6" t="s">
        <v>130</v>
      </c>
      <c r="C126" s="7">
        <v>4185749</v>
      </c>
      <c r="D126" s="23" t="s">
        <v>131</v>
      </c>
      <c r="E126" s="6" t="s">
        <v>132</v>
      </c>
      <c r="F126" s="21" t="s">
        <v>30</v>
      </c>
      <c r="G126" s="6" t="s">
        <v>225</v>
      </c>
      <c r="H126" s="22">
        <v>698.9</v>
      </c>
      <c r="I126" s="9">
        <v>5</v>
      </c>
      <c r="J126" s="22">
        <f t="shared" si="2"/>
        <v>3494.5</v>
      </c>
      <c r="K126" s="9">
        <f t="array" ref="K126">QUARTILE(IF($F$3:$F$1460=$F126,$H$3:$H$1460),1)</f>
        <v>47.47</v>
      </c>
      <c r="L126" s="9">
        <f t="array" ref="L126">QUARTILE(IF($F$3:$F$1460=$F126,$H$3:$H$1460),2)</f>
        <v>86.69</v>
      </c>
      <c r="M126" s="9">
        <f t="array" ref="M126">QUARTILE(IF($F$3:$F$1460=$F126,$H$3:$H$1460),3)</f>
        <v>146.42500000000001</v>
      </c>
    </row>
    <row r="127" spans="1:13" x14ac:dyDescent="0.25">
      <c r="A127" s="7">
        <v>125</v>
      </c>
      <c r="B127" s="6" t="s">
        <v>130</v>
      </c>
      <c r="C127" s="7">
        <v>4185749</v>
      </c>
      <c r="D127" s="23" t="s">
        <v>131</v>
      </c>
      <c r="E127" s="6" t="s">
        <v>132</v>
      </c>
      <c r="F127" s="21" t="s">
        <v>68</v>
      </c>
      <c r="G127" s="45" t="s">
        <v>226</v>
      </c>
      <c r="H127" s="22">
        <v>1152.8</v>
      </c>
      <c r="I127" s="9">
        <v>2</v>
      </c>
      <c r="J127" s="22">
        <f t="shared" si="2"/>
        <v>2305.6</v>
      </c>
      <c r="K127" s="9">
        <f t="array" ref="K127">QUARTILE(IF($F$3:$F$1460=$F127,$H$3:$H$1460),1)</f>
        <v>2032</v>
      </c>
      <c r="L127" s="9">
        <f t="array" ref="L127">QUARTILE(IF($F$3:$F$1460=$F127,$H$3:$H$1460),2)</f>
        <v>19360</v>
      </c>
      <c r="M127" s="9">
        <f t="array" ref="M127">QUARTILE(IF($F$3:$F$1460=$F127,$H$3:$H$1460),3)</f>
        <v>87628.37</v>
      </c>
    </row>
    <row r="128" spans="1:13" x14ac:dyDescent="0.25">
      <c r="A128" s="7">
        <v>126</v>
      </c>
      <c r="B128" s="6" t="s">
        <v>130</v>
      </c>
      <c r="C128" s="7">
        <v>4185749</v>
      </c>
      <c r="D128" s="23" t="s">
        <v>131</v>
      </c>
      <c r="E128" s="6" t="s">
        <v>132</v>
      </c>
      <c r="F128" s="21" t="s">
        <v>68</v>
      </c>
      <c r="G128" s="45" t="s">
        <v>227</v>
      </c>
      <c r="H128" s="22">
        <v>2356.1999999999998</v>
      </c>
      <c r="I128" s="9">
        <v>1</v>
      </c>
      <c r="J128" s="22">
        <f t="shared" si="2"/>
        <v>2356.1999999999998</v>
      </c>
      <c r="K128" s="9">
        <f t="array" ref="K128">QUARTILE(IF($F$3:$F$1460=$F128,$H$3:$H$1460),1)</f>
        <v>2032</v>
      </c>
      <c r="L128" s="9">
        <f t="array" ref="L128">QUARTILE(IF($F$3:$F$1460=$F128,$H$3:$H$1460),2)</f>
        <v>19360</v>
      </c>
      <c r="M128" s="9">
        <f t="array" ref="M128">QUARTILE(IF($F$3:$F$1460=$F128,$H$3:$H$1460),3)</f>
        <v>87628.37</v>
      </c>
    </row>
    <row r="129" spans="1:13" x14ac:dyDescent="0.25">
      <c r="A129" s="7">
        <v>127</v>
      </c>
      <c r="B129" s="6" t="s">
        <v>130</v>
      </c>
      <c r="C129" s="7">
        <v>4185749</v>
      </c>
      <c r="D129" s="23" t="s">
        <v>131</v>
      </c>
      <c r="E129" s="6" t="s">
        <v>132</v>
      </c>
      <c r="F129" s="21" t="s">
        <v>68</v>
      </c>
      <c r="G129" s="45" t="s">
        <v>228</v>
      </c>
      <c r="H129" s="22">
        <v>6298.5</v>
      </c>
      <c r="I129" s="9">
        <v>1</v>
      </c>
      <c r="J129" s="22">
        <f t="shared" si="2"/>
        <v>6298.5</v>
      </c>
      <c r="K129" s="9">
        <f t="array" ref="K129">QUARTILE(IF($F$3:$F$1460=$F129,$H$3:$H$1460),1)</f>
        <v>2032</v>
      </c>
      <c r="L129" s="9">
        <f t="array" ref="L129">QUARTILE(IF($F$3:$F$1460=$F129,$H$3:$H$1460),2)</f>
        <v>19360</v>
      </c>
      <c r="M129" s="9">
        <f t="array" ref="M129">QUARTILE(IF($F$3:$F$1460=$F129,$H$3:$H$1460),3)</f>
        <v>87628.37</v>
      </c>
    </row>
    <row r="130" spans="1:13" x14ac:dyDescent="0.25">
      <c r="A130" s="7">
        <v>128</v>
      </c>
      <c r="B130" s="6" t="s">
        <v>130</v>
      </c>
      <c r="C130" s="7">
        <v>4185749</v>
      </c>
      <c r="D130" s="23" t="s">
        <v>131</v>
      </c>
      <c r="E130" s="6" t="s">
        <v>132</v>
      </c>
      <c r="F130" s="21" t="s">
        <v>68</v>
      </c>
      <c r="G130" s="45" t="s">
        <v>229</v>
      </c>
      <c r="H130" s="22">
        <v>34185.599999999999</v>
      </c>
      <c r="I130" s="9">
        <v>1</v>
      </c>
      <c r="J130" s="22">
        <f t="shared" si="2"/>
        <v>34185.599999999999</v>
      </c>
      <c r="K130" s="9">
        <f t="array" ref="K130">QUARTILE(IF($F$3:$F$1460=$F130,$H$3:$H$1460),1)</f>
        <v>2032</v>
      </c>
      <c r="L130" s="9">
        <f t="array" ref="L130">QUARTILE(IF($F$3:$F$1460=$F130,$H$3:$H$1460),2)</f>
        <v>19360</v>
      </c>
      <c r="M130" s="9">
        <f t="array" ref="M130">QUARTILE(IF($F$3:$F$1460=$F130,$H$3:$H$1460),3)</f>
        <v>87628.37</v>
      </c>
    </row>
    <row r="131" spans="1:13" x14ac:dyDescent="0.25">
      <c r="A131" s="7">
        <v>129</v>
      </c>
      <c r="B131" s="6" t="s">
        <v>130</v>
      </c>
      <c r="C131" s="7">
        <v>4185749</v>
      </c>
      <c r="D131" s="23" t="s">
        <v>131</v>
      </c>
      <c r="E131" s="6" t="s">
        <v>132</v>
      </c>
      <c r="F131" s="21" t="s">
        <v>75</v>
      </c>
      <c r="G131" s="45" t="s">
        <v>230</v>
      </c>
      <c r="H131" s="22">
        <v>923.9</v>
      </c>
      <c r="I131" s="9">
        <v>4</v>
      </c>
      <c r="J131" s="22">
        <f t="shared" si="2"/>
        <v>3695.6</v>
      </c>
      <c r="K131" s="9">
        <f t="array" ref="K131">QUARTILE(IF($F$3:$F$1460=$F131,$H$3:$H$1460),1)</f>
        <v>7209.15</v>
      </c>
      <c r="L131" s="9">
        <f t="array" ref="L131">QUARTILE(IF($F$3:$F$1460=$F131,$H$3:$H$1460),2)</f>
        <v>15534.78</v>
      </c>
      <c r="M131" s="9">
        <f t="array" ref="M131">QUARTILE(IF($F$3:$F$1460=$F131,$H$3:$H$1460),3)</f>
        <v>29950.799999999999</v>
      </c>
    </row>
    <row r="132" spans="1:13" x14ac:dyDescent="0.25">
      <c r="A132" s="7">
        <v>130</v>
      </c>
      <c r="B132" s="6" t="s">
        <v>130</v>
      </c>
      <c r="C132" s="7">
        <v>4185749</v>
      </c>
      <c r="D132" s="23" t="s">
        <v>131</v>
      </c>
      <c r="E132" s="6" t="s">
        <v>132</v>
      </c>
      <c r="F132" s="21" t="s">
        <v>75</v>
      </c>
      <c r="G132" s="45" t="s">
        <v>231</v>
      </c>
      <c r="H132" s="22">
        <v>5659.5</v>
      </c>
      <c r="I132" s="9">
        <v>3</v>
      </c>
      <c r="J132" s="22">
        <f t="shared" si="2"/>
        <v>16978.5</v>
      </c>
      <c r="K132" s="9">
        <f t="array" ref="K132">QUARTILE(IF($F$3:$F$1460=$F132,$H$3:$H$1460),1)</f>
        <v>7209.15</v>
      </c>
      <c r="L132" s="9">
        <f t="array" ref="L132">QUARTILE(IF($F$3:$F$1460=$F132,$H$3:$H$1460),2)</f>
        <v>15534.78</v>
      </c>
      <c r="M132" s="9">
        <f t="array" ref="M132">QUARTILE(IF($F$3:$F$1460=$F132,$H$3:$H$1460),3)</f>
        <v>29950.799999999999</v>
      </c>
    </row>
    <row r="133" spans="1:13" x14ac:dyDescent="0.25">
      <c r="A133" s="7">
        <v>131</v>
      </c>
      <c r="B133" s="6" t="s">
        <v>130</v>
      </c>
      <c r="C133" s="7">
        <v>4185749</v>
      </c>
      <c r="D133" s="23" t="s">
        <v>131</v>
      </c>
      <c r="E133" s="6" t="s">
        <v>132</v>
      </c>
      <c r="F133" s="21" t="s">
        <v>75</v>
      </c>
      <c r="G133" s="45" t="s">
        <v>232</v>
      </c>
      <c r="H133" s="22">
        <v>7663</v>
      </c>
      <c r="I133" s="9">
        <v>1</v>
      </c>
      <c r="J133" s="22">
        <f t="shared" si="2"/>
        <v>7663</v>
      </c>
      <c r="K133" s="9">
        <f t="array" ref="K133">QUARTILE(IF($F$3:$F$1460=$F133,$H$3:$H$1460),1)</f>
        <v>7209.15</v>
      </c>
      <c r="L133" s="9">
        <f t="array" ref="L133">QUARTILE(IF($F$3:$F$1460=$F133,$H$3:$H$1460),2)</f>
        <v>15534.78</v>
      </c>
      <c r="M133" s="9">
        <f t="array" ref="M133">QUARTILE(IF($F$3:$F$1460=$F133,$H$3:$H$1460),3)</f>
        <v>29950.799999999999</v>
      </c>
    </row>
    <row r="134" spans="1:13" x14ac:dyDescent="0.25">
      <c r="A134" s="7">
        <v>132</v>
      </c>
      <c r="B134" s="6" t="s">
        <v>130</v>
      </c>
      <c r="C134" s="7">
        <v>4185749</v>
      </c>
      <c r="D134" s="23" t="s">
        <v>131</v>
      </c>
      <c r="E134" s="6" t="s">
        <v>132</v>
      </c>
      <c r="F134" s="21" t="s">
        <v>75</v>
      </c>
      <c r="G134" s="45" t="s">
        <v>233</v>
      </c>
      <c r="H134" s="22">
        <v>29950.799999999999</v>
      </c>
      <c r="I134" s="9">
        <v>1</v>
      </c>
      <c r="J134" s="22">
        <f t="shared" si="2"/>
        <v>29950.799999999999</v>
      </c>
      <c r="K134" s="9">
        <f t="array" ref="K134">QUARTILE(IF($F$3:$F$1460=$F134,$H$3:$H$1460),1)</f>
        <v>7209.15</v>
      </c>
      <c r="L134" s="9">
        <f t="array" ref="L134">QUARTILE(IF($F$3:$F$1460=$F134,$H$3:$H$1460),2)</f>
        <v>15534.78</v>
      </c>
      <c r="M134" s="9">
        <f t="array" ref="M134">QUARTILE(IF($F$3:$F$1460=$F134,$H$3:$H$1460),3)</f>
        <v>29950.799999999999</v>
      </c>
    </row>
    <row r="135" spans="1:13" x14ac:dyDescent="0.25">
      <c r="A135" s="7">
        <v>133</v>
      </c>
      <c r="B135" s="6" t="s">
        <v>130</v>
      </c>
      <c r="C135" s="7">
        <v>4185749</v>
      </c>
      <c r="D135" s="23" t="s">
        <v>131</v>
      </c>
      <c r="E135" s="6" t="s">
        <v>132</v>
      </c>
      <c r="F135" s="21" t="s">
        <v>67</v>
      </c>
      <c r="G135" s="6" t="s">
        <v>234</v>
      </c>
      <c r="H135" s="22">
        <v>2263.9</v>
      </c>
      <c r="I135" s="9">
        <v>10</v>
      </c>
      <c r="J135" s="22">
        <f t="shared" si="2"/>
        <v>22639</v>
      </c>
      <c r="K135" s="9">
        <f t="array" ref="K135">QUARTILE(IF($F$3:$F$1460=$F135,$H$3:$H$1460),1)</f>
        <v>1759.125</v>
      </c>
      <c r="L135" s="9">
        <f t="array" ref="L135">QUARTILE(IF($F$3:$F$1460=$F135,$H$3:$H$1460),2)</f>
        <v>3923.7249999999999</v>
      </c>
      <c r="M135" s="9">
        <f t="array" ref="M135">QUARTILE(IF($F$3:$F$1460=$F135,$H$3:$H$1460),3)</f>
        <v>12062.504999999999</v>
      </c>
    </row>
    <row r="136" spans="1:13" x14ac:dyDescent="0.25">
      <c r="A136" s="7">
        <v>134</v>
      </c>
      <c r="B136" s="6" t="s">
        <v>130</v>
      </c>
      <c r="C136" s="7">
        <v>4185749</v>
      </c>
      <c r="D136" s="23" t="s">
        <v>131</v>
      </c>
      <c r="E136" s="6" t="s">
        <v>132</v>
      </c>
      <c r="F136" s="21" t="s">
        <v>67</v>
      </c>
      <c r="G136" s="6" t="s">
        <v>235</v>
      </c>
      <c r="H136" s="22">
        <v>2406.9</v>
      </c>
      <c r="I136" s="9">
        <v>10</v>
      </c>
      <c r="J136" s="22">
        <f t="shared" si="2"/>
        <v>24069</v>
      </c>
      <c r="K136" s="9">
        <f t="array" ref="K136">QUARTILE(IF($F$3:$F$1460=$F136,$H$3:$H$1460),1)</f>
        <v>1759.125</v>
      </c>
      <c r="L136" s="9">
        <f t="array" ref="L136">QUARTILE(IF($F$3:$F$1460=$F136,$H$3:$H$1460),2)</f>
        <v>3923.7249999999999</v>
      </c>
      <c r="M136" s="9">
        <f t="array" ref="M136">QUARTILE(IF($F$3:$F$1460=$F136,$H$3:$H$1460),3)</f>
        <v>12062.504999999999</v>
      </c>
    </row>
    <row r="137" spans="1:13" x14ac:dyDescent="0.25">
      <c r="A137" s="7">
        <v>135</v>
      </c>
      <c r="B137" s="6" t="s">
        <v>130</v>
      </c>
      <c r="C137" s="7">
        <v>4185749</v>
      </c>
      <c r="D137" s="23" t="s">
        <v>131</v>
      </c>
      <c r="E137" s="6" t="s">
        <v>132</v>
      </c>
      <c r="F137" s="21" t="s">
        <v>67</v>
      </c>
      <c r="G137" s="6" t="s">
        <v>236</v>
      </c>
      <c r="H137" s="22">
        <v>3964.4</v>
      </c>
      <c r="I137" s="9">
        <v>3</v>
      </c>
      <c r="J137" s="22">
        <f t="shared" si="2"/>
        <v>11893.2</v>
      </c>
      <c r="K137" s="9">
        <f t="array" ref="K137">QUARTILE(IF($F$3:$F$1460=$F137,$H$3:$H$1460),1)</f>
        <v>1759.125</v>
      </c>
      <c r="L137" s="9">
        <f t="array" ref="L137">QUARTILE(IF($F$3:$F$1460=$F137,$H$3:$H$1460),2)</f>
        <v>3923.7249999999999</v>
      </c>
      <c r="M137" s="9">
        <f t="array" ref="M137">QUARTILE(IF($F$3:$F$1460=$F137,$H$3:$H$1460),3)</f>
        <v>12062.504999999999</v>
      </c>
    </row>
    <row r="138" spans="1:13" x14ac:dyDescent="0.25">
      <c r="A138" s="7">
        <v>136</v>
      </c>
      <c r="B138" s="6" t="s">
        <v>130</v>
      </c>
      <c r="C138" s="7">
        <v>4185749</v>
      </c>
      <c r="D138" s="23" t="s">
        <v>131</v>
      </c>
      <c r="E138" s="6" t="s">
        <v>132</v>
      </c>
      <c r="F138" s="21" t="s">
        <v>67</v>
      </c>
      <c r="G138" s="6" t="s">
        <v>237</v>
      </c>
      <c r="H138" s="22">
        <v>4591.6000000000004</v>
      </c>
      <c r="I138" s="9">
        <v>3</v>
      </c>
      <c r="J138" s="22">
        <f t="shared" si="2"/>
        <v>13774.800000000001</v>
      </c>
      <c r="K138" s="9">
        <f t="array" ref="K138">QUARTILE(IF($F$3:$F$1460=$F138,$H$3:$H$1460),1)</f>
        <v>1759.125</v>
      </c>
      <c r="L138" s="9">
        <f t="array" ref="L138">QUARTILE(IF($F$3:$F$1460=$F138,$H$3:$H$1460),2)</f>
        <v>3923.7249999999999</v>
      </c>
      <c r="M138" s="9">
        <f t="array" ref="M138">QUARTILE(IF($F$3:$F$1460=$F138,$H$3:$H$1460),3)</f>
        <v>12062.504999999999</v>
      </c>
    </row>
    <row r="139" spans="1:13" x14ac:dyDescent="0.25">
      <c r="A139" s="7">
        <v>137</v>
      </c>
      <c r="B139" s="6" t="s">
        <v>130</v>
      </c>
      <c r="C139" s="7">
        <v>4185749</v>
      </c>
      <c r="D139" s="23" t="s">
        <v>131</v>
      </c>
      <c r="E139" s="6" t="s">
        <v>132</v>
      </c>
      <c r="F139" s="21" t="s">
        <v>67</v>
      </c>
      <c r="G139" s="6" t="s">
        <v>238</v>
      </c>
      <c r="H139" s="22">
        <v>18852.5</v>
      </c>
      <c r="I139" s="9">
        <v>2</v>
      </c>
      <c r="J139" s="22">
        <f t="shared" si="2"/>
        <v>37705</v>
      </c>
      <c r="K139" s="9">
        <f t="array" ref="K139">QUARTILE(IF($F$3:$F$1460=$F139,$H$3:$H$1460),1)</f>
        <v>1759.125</v>
      </c>
      <c r="L139" s="9">
        <f t="array" ref="L139">QUARTILE(IF($F$3:$F$1460=$F139,$H$3:$H$1460),2)</f>
        <v>3923.7249999999999</v>
      </c>
      <c r="M139" s="9">
        <f t="array" ref="M139">QUARTILE(IF($F$3:$F$1460=$F139,$H$3:$H$1460),3)</f>
        <v>12062.504999999999</v>
      </c>
    </row>
    <row r="140" spans="1:13" x14ac:dyDescent="0.25">
      <c r="A140" s="7">
        <v>138</v>
      </c>
      <c r="B140" s="6" t="s">
        <v>130</v>
      </c>
      <c r="C140" s="7">
        <v>4185749</v>
      </c>
      <c r="D140" s="23" t="s">
        <v>131</v>
      </c>
      <c r="E140" s="6" t="s">
        <v>132</v>
      </c>
      <c r="F140" s="21" t="s">
        <v>67</v>
      </c>
      <c r="G140" s="6" t="s">
        <v>239</v>
      </c>
      <c r="H140" s="22">
        <v>27832</v>
      </c>
      <c r="I140" s="9">
        <v>1</v>
      </c>
      <c r="J140" s="22">
        <f t="shared" si="2"/>
        <v>27832</v>
      </c>
      <c r="K140" s="9">
        <f t="array" ref="K140">QUARTILE(IF($F$3:$F$1460=$F140,$H$3:$H$1460),1)</f>
        <v>1759.125</v>
      </c>
      <c r="L140" s="9">
        <f t="array" ref="L140">QUARTILE(IF($F$3:$F$1460=$F140,$H$3:$H$1460),2)</f>
        <v>3923.7249999999999</v>
      </c>
      <c r="M140" s="9">
        <f t="array" ref="M140">QUARTILE(IF($F$3:$F$1460=$F140,$H$3:$H$1460),3)</f>
        <v>12062.504999999999</v>
      </c>
    </row>
    <row r="141" spans="1:13" x14ac:dyDescent="0.25">
      <c r="A141" s="7">
        <v>139</v>
      </c>
      <c r="B141" s="6" t="s">
        <v>130</v>
      </c>
      <c r="C141" s="7">
        <v>4185749</v>
      </c>
      <c r="D141" s="23" t="s">
        <v>131</v>
      </c>
      <c r="E141" s="6" t="s">
        <v>132</v>
      </c>
      <c r="F141" s="21" t="s">
        <v>36</v>
      </c>
      <c r="G141" s="6" t="s">
        <v>240</v>
      </c>
      <c r="H141" s="22">
        <v>159.1</v>
      </c>
      <c r="I141" s="9">
        <v>10</v>
      </c>
      <c r="J141" s="22">
        <f t="shared" si="2"/>
        <v>1591</v>
      </c>
      <c r="K141" s="9">
        <f t="array" ref="K141">QUARTILE(IF($F$3:$F$1460=$F141,$H$3:$H$1460),1)</f>
        <v>88.21</v>
      </c>
      <c r="L141" s="9">
        <f t="array" ref="L141">QUARTILE(IF($F$3:$F$1460=$F141,$H$3:$H$1460),2)</f>
        <v>134.57</v>
      </c>
      <c r="M141" s="9">
        <f t="array" ref="M141">QUARTILE(IF($F$3:$F$1460=$F141,$H$3:$H$1460),3)</f>
        <v>252.7</v>
      </c>
    </row>
    <row r="142" spans="1:13" x14ac:dyDescent="0.25">
      <c r="A142" s="7">
        <v>140</v>
      </c>
      <c r="B142" s="6" t="s">
        <v>130</v>
      </c>
      <c r="C142" s="7">
        <v>4185749</v>
      </c>
      <c r="D142" s="23" t="s">
        <v>131</v>
      </c>
      <c r="E142" s="6" t="s">
        <v>132</v>
      </c>
      <c r="F142" s="21" t="s">
        <v>36</v>
      </c>
      <c r="G142" s="6" t="s">
        <v>241</v>
      </c>
      <c r="H142" s="22">
        <v>80.2</v>
      </c>
      <c r="I142" s="9">
        <v>6</v>
      </c>
      <c r="J142" s="22">
        <f t="shared" si="2"/>
        <v>481.20000000000005</v>
      </c>
      <c r="K142" s="9">
        <f t="array" ref="K142">QUARTILE(IF($F$3:$F$1460=$F142,$H$3:$H$1460),1)</f>
        <v>88.21</v>
      </c>
      <c r="L142" s="9">
        <f t="array" ref="L142">QUARTILE(IF($F$3:$F$1460=$F142,$H$3:$H$1460),2)</f>
        <v>134.57</v>
      </c>
      <c r="M142" s="9">
        <f t="array" ref="M142">QUARTILE(IF($F$3:$F$1460=$F142,$H$3:$H$1460),3)</f>
        <v>252.7</v>
      </c>
    </row>
    <row r="143" spans="1:13" x14ac:dyDescent="0.25">
      <c r="A143" s="7">
        <v>141</v>
      </c>
      <c r="B143" s="6" t="s">
        <v>130</v>
      </c>
      <c r="C143" s="7">
        <v>4185749</v>
      </c>
      <c r="D143" s="23" t="s">
        <v>131</v>
      </c>
      <c r="E143" s="6" t="s">
        <v>132</v>
      </c>
      <c r="F143" s="21" t="s">
        <v>36</v>
      </c>
      <c r="G143" s="6" t="s">
        <v>242</v>
      </c>
      <c r="H143" s="22">
        <v>88.1</v>
      </c>
      <c r="I143" s="9">
        <v>6</v>
      </c>
      <c r="J143" s="22">
        <f t="shared" si="2"/>
        <v>528.59999999999991</v>
      </c>
      <c r="K143" s="9">
        <f t="array" ref="K143">QUARTILE(IF($F$3:$F$1460=$F143,$H$3:$H$1460),1)</f>
        <v>88.21</v>
      </c>
      <c r="L143" s="9">
        <f t="array" ref="L143">QUARTILE(IF($F$3:$F$1460=$F143,$H$3:$H$1460),2)</f>
        <v>134.57</v>
      </c>
      <c r="M143" s="9">
        <f t="array" ref="M143">QUARTILE(IF($F$3:$F$1460=$F143,$H$3:$H$1460),3)</f>
        <v>252.7</v>
      </c>
    </row>
    <row r="144" spans="1:13" x14ac:dyDescent="0.25">
      <c r="A144" s="7">
        <v>142</v>
      </c>
      <c r="B144" s="6" t="s">
        <v>130</v>
      </c>
      <c r="C144" s="7">
        <v>4185749</v>
      </c>
      <c r="D144" s="23" t="s">
        <v>131</v>
      </c>
      <c r="E144" s="6" t="s">
        <v>132</v>
      </c>
      <c r="F144" s="21" t="s">
        <v>36</v>
      </c>
      <c r="G144" s="6" t="s">
        <v>243</v>
      </c>
      <c r="H144" s="22">
        <v>126.7</v>
      </c>
      <c r="I144" s="9">
        <v>10</v>
      </c>
      <c r="J144" s="22">
        <f t="shared" si="2"/>
        <v>1267</v>
      </c>
      <c r="K144" s="9">
        <f t="array" ref="K144">QUARTILE(IF($F$3:$F$1460=$F144,$H$3:$H$1460),1)</f>
        <v>88.21</v>
      </c>
      <c r="L144" s="9">
        <f t="array" ref="L144">QUARTILE(IF($F$3:$F$1460=$F144,$H$3:$H$1460),2)</f>
        <v>134.57</v>
      </c>
      <c r="M144" s="9">
        <f t="array" ref="M144">QUARTILE(IF($F$3:$F$1460=$F144,$H$3:$H$1460),3)</f>
        <v>252.7</v>
      </c>
    </row>
    <row r="145" spans="1:13" x14ac:dyDescent="0.25">
      <c r="A145" s="7">
        <v>143</v>
      </c>
      <c r="B145" s="6" t="s">
        <v>130</v>
      </c>
      <c r="C145" s="7">
        <v>4185749</v>
      </c>
      <c r="D145" s="23" t="s">
        <v>131</v>
      </c>
      <c r="E145" s="6" t="s">
        <v>132</v>
      </c>
      <c r="F145" s="21" t="s">
        <v>36</v>
      </c>
      <c r="G145" s="6" t="s">
        <v>244</v>
      </c>
      <c r="H145" s="22">
        <v>71.599999999999994</v>
      </c>
      <c r="I145" s="9">
        <v>4</v>
      </c>
      <c r="J145" s="22">
        <f t="shared" si="2"/>
        <v>286.39999999999998</v>
      </c>
      <c r="K145" s="9">
        <f t="array" ref="K145">QUARTILE(IF($F$3:$F$1460=$F145,$H$3:$H$1460),1)</f>
        <v>88.21</v>
      </c>
      <c r="L145" s="9">
        <f t="array" ref="L145">QUARTILE(IF($F$3:$F$1460=$F145,$H$3:$H$1460),2)</f>
        <v>134.57</v>
      </c>
      <c r="M145" s="9">
        <f t="array" ref="M145">QUARTILE(IF($F$3:$F$1460=$F145,$H$3:$H$1460),3)</f>
        <v>252.7</v>
      </c>
    </row>
    <row r="146" spans="1:13" x14ac:dyDescent="0.25">
      <c r="A146" s="7">
        <v>144</v>
      </c>
      <c r="B146" s="6" t="s">
        <v>130</v>
      </c>
      <c r="C146" s="7">
        <v>4185749</v>
      </c>
      <c r="D146" s="23" t="s">
        <v>131</v>
      </c>
      <c r="E146" s="6" t="s">
        <v>132</v>
      </c>
      <c r="F146" s="21" t="s">
        <v>32</v>
      </c>
      <c r="G146" s="45" t="s">
        <v>245</v>
      </c>
      <c r="H146" s="22">
        <v>47.1</v>
      </c>
      <c r="I146" s="9">
        <v>1</v>
      </c>
      <c r="J146" s="22">
        <f t="shared" si="2"/>
        <v>47.1</v>
      </c>
      <c r="K146" s="9">
        <f t="array" ref="K146">QUARTILE(IF($F$3:$F$1460=$F146,$H$3:$H$1460),1)</f>
        <v>59.227499999999999</v>
      </c>
      <c r="L146" s="9">
        <f t="array" ref="L146">QUARTILE(IF($F$3:$F$1460=$F146,$H$3:$H$1460),2)</f>
        <v>332.14</v>
      </c>
      <c r="M146" s="9">
        <f t="array" ref="M146">QUARTILE(IF($F$3:$F$1460=$F146,$H$3:$H$1460),3)</f>
        <v>1331.8050000000001</v>
      </c>
    </row>
    <row r="147" spans="1:13" x14ac:dyDescent="0.25">
      <c r="A147" s="7">
        <v>145</v>
      </c>
      <c r="B147" s="6" t="s">
        <v>130</v>
      </c>
      <c r="C147" s="7">
        <v>4185749</v>
      </c>
      <c r="D147" s="23" t="s">
        <v>131</v>
      </c>
      <c r="E147" s="6" t="s">
        <v>132</v>
      </c>
      <c r="F147" s="21" t="s">
        <v>32</v>
      </c>
      <c r="G147" s="45" t="s">
        <v>246</v>
      </c>
      <c r="H147" s="22">
        <v>52.2</v>
      </c>
      <c r="I147" s="9">
        <v>1</v>
      </c>
      <c r="J147" s="22">
        <f t="shared" si="2"/>
        <v>52.2</v>
      </c>
      <c r="K147" s="9">
        <f t="array" ref="K147">QUARTILE(IF($F$3:$F$1460=$F147,$H$3:$H$1460),1)</f>
        <v>59.227499999999999</v>
      </c>
      <c r="L147" s="9">
        <f t="array" ref="L147">QUARTILE(IF($F$3:$F$1460=$F147,$H$3:$H$1460),2)</f>
        <v>332.14</v>
      </c>
      <c r="M147" s="9">
        <f t="array" ref="M147">QUARTILE(IF($F$3:$F$1460=$F147,$H$3:$H$1460),3)</f>
        <v>1331.8050000000001</v>
      </c>
    </row>
    <row r="148" spans="1:13" x14ac:dyDescent="0.25">
      <c r="A148" s="7">
        <v>146</v>
      </c>
      <c r="B148" s="6" t="s">
        <v>130</v>
      </c>
      <c r="C148" s="7">
        <v>4185749</v>
      </c>
      <c r="D148" s="23" t="s">
        <v>131</v>
      </c>
      <c r="E148" s="6" t="s">
        <v>132</v>
      </c>
      <c r="F148" s="21" t="s">
        <v>32</v>
      </c>
      <c r="G148" s="45" t="s">
        <v>247</v>
      </c>
      <c r="H148" s="22">
        <v>129.1</v>
      </c>
      <c r="I148" s="9">
        <v>1</v>
      </c>
      <c r="J148" s="22">
        <f t="shared" si="2"/>
        <v>129.1</v>
      </c>
      <c r="K148" s="9">
        <f t="array" ref="K148">QUARTILE(IF($F$3:$F$1460=$F148,$H$3:$H$1460),1)</f>
        <v>59.227499999999999</v>
      </c>
      <c r="L148" s="9">
        <f t="array" ref="L148">QUARTILE(IF($F$3:$F$1460=$F148,$H$3:$H$1460),2)</f>
        <v>332.14</v>
      </c>
      <c r="M148" s="9">
        <f t="array" ref="M148">QUARTILE(IF($F$3:$F$1460=$F148,$H$3:$H$1460),3)</f>
        <v>1331.8050000000001</v>
      </c>
    </row>
    <row r="149" spans="1:13" x14ac:dyDescent="0.25">
      <c r="A149" s="7">
        <v>147</v>
      </c>
      <c r="B149" s="6" t="s">
        <v>130</v>
      </c>
      <c r="C149" s="7">
        <v>4185749</v>
      </c>
      <c r="D149" s="23" t="s">
        <v>131</v>
      </c>
      <c r="E149" s="6" t="s">
        <v>132</v>
      </c>
      <c r="F149" s="21" t="s">
        <v>32</v>
      </c>
      <c r="G149" s="45" t="s">
        <v>248</v>
      </c>
      <c r="H149" s="22">
        <v>422.2</v>
      </c>
      <c r="I149" s="9">
        <v>1</v>
      </c>
      <c r="J149" s="22">
        <f t="shared" si="2"/>
        <v>422.2</v>
      </c>
      <c r="K149" s="9">
        <f t="array" ref="K149">QUARTILE(IF($F$3:$F$1460=$F149,$H$3:$H$1460),1)</f>
        <v>59.227499999999999</v>
      </c>
      <c r="L149" s="9">
        <f t="array" ref="L149">QUARTILE(IF($F$3:$F$1460=$F149,$H$3:$H$1460),2)</f>
        <v>332.14</v>
      </c>
      <c r="M149" s="9">
        <f t="array" ref="M149">QUARTILE(IF($F$3:$F$1460=$F149,$H$3:$H$1460),3)</f>
        <v>1331.8050000000001</v>
      </c>
    </row>
    <row r="150" spans="1:13" x14ac:dyDescent="0.25">
      <c r="A150" s="7">
        <v>148</v>
      </c>
      <c r="B150" s="6" t="s">
        <v>130</v>
      </c>
      <c r="C150" s="7">
        <v>4185749</v>
      </c>
      <c r="D150" s="23" t="s">
        <v>131</v>
      </c>
      <c r="E150" s="6" t="s">
        <v>132</v>
      </c>
      <c r="F150" s="21" t="s">
        <v>32</v>
      </c>
      <c r="G150" s="45" t="s">
        <v>249</v>
      </c>
      <c r="H150" s="22">
        <v>1114</v>
      </c>
      <c r="I150" s="9">
        <v>1</v>
      </c>
      <c r="J150" s="22">
        <f t="shared" si="2"/>
        <v>1114</v>
      </c>
      <c r="K150" s="9">
        <f t="array" ref="K150">QUARTILE(IF($F$3:$F$1460=$F150,$H$3:$H$1460),1)</f>
        <v>59.227499999999999</v>
      </c>
      <c r="L150" s="9">
        <f t="array" ref="L150">QUARTILE(IF($F$3:$F$1460=$F150,$H$3:$H$1460),2)</f>
        <v>332.14</v>
      </c>
      <c r="M150" s="9">
        <f t="array" ref="M150">QUARTILE(IF($F$3:$F$1460=$F150,$H$3:$H$1460),3)</f>
        <v>1331.8050000000001</v>
      </c>
    </row>
    <row r="151" spans="1:13" x14ac:dyDescent="0.25">
      <c r="A151" s="7">
        <v>149</v>
      </c>
      <c r="B151" s="6" t="s">
        <v>130</v>
      </c>
      <c r="C151" s="7">
        <v>4185749</v>
      </c>
      <c r="D151" s="23" t="s">
        <v>131</v>
      </c>
      <c r="E151" s="6" t="s">
        <v>132</v>
      </c>
      <c r="F151" s="21" t="s">
        <v>32</v>
      </c>
      <c r="G151" s="45" t="s">
        <v>250</v>
      </c>
      <c r="H151" s="22">
        <v>1984</v>
      </c>
      <c r="I151" s="9">
        <v>1</v>
      </c>
      <c r="J151" s="22">
        <f t="shared" si="2"/>
        <v>1984</v>
      </c>
      <c r="K151" s="9">
        <f t="array" ref="K151">QUARTILE(IF($F$3:$F$1460=$F151,$H$3:$H$1460),1)</f>
        <v>59.227499999999999</v>
      </c>
      <c r="L151" s="9">
        <f t="array" ref="L151">QUARTILE(IF($F$3:$F$1460=$F151,$H$3:$H$1460),2)</f>
        <v>332.14</v>
      </c>
      <c r="M151" s="9">
        <f t="array" ref="M151">QUARTILE(IF($F$3:$F$1460=$F151,$H$3:$H$1460),3)</f>
        <v>1331.8050000000001</v>
      </c>
    </row>
    <row r="152" spans="1:13" x14ac:dyDescent="0.25">
      <c r="A152" s="7">
        <v>150</v>
      </c>
      <c r="B152" s="6" t="s">
        <v>130</v>
      </c>
      <c r="C152" s="7">
        <v>4185749</v>
      </c>
      <c r="D152" s="23" t="s">
        <v>131</v>
      </c>
      <c r="E152" s="6" t="s">
        <v>132</v>
      </c>
      <c r="F152" s="21" t="s">
        <v>62</v>
      </c>
      <c r="G152" s="6" t="s">
        <v>251</v>
      </c>
      <c r="H152" s="22">
        <v>738.46</v>
      </c>
      <c r="I152" s="9">
        <v>30</v>
      </c>
      <c r="J152" s="22">
        <f t="shared" si="2"/>
        <v>22153.800000000003</v>
      </c>
      <c r="K152" s="9">
        <f t="array" ref="K152">QUARTILE(IF($F$3:$F$1460=$F152,$H$3:$H$1460),1)</f>
        <v>783.15</v>
      </c>
      <c r="L152" s="9">
        <f t="array" ref="L152">QUARTILE(IF($F$3:$F$1460=$F152,$H$3:$H$1460),2)</f>
        <v>1196.3</v>
      </c>
      <c r="M152" s="9">
        <f t="array" ref="M152">QUARTILE(IF($F$3:$F$1460=$F152,$H$3:$H$1460),3)</f>
        <v>1455.5</v>
      </c>
    </row>
    <row r="153" spans="1:13" x14ac:dyDescent="0.25">
      <c r="A153" s="7">
        <v>151</v>
      </c>
      <c r="B153" s="6" t="s">
        <v>130</v>
      </c>
      <c r="C153" s="7">
        <v>4185749</v>
      </c>
      <c r="D153" s="23" t="s">
        <v>131</v>
      </c>
      <c r="E153" s="6" t="s">
        <v>132</v>
      </c>
      <c r="F153" s="21" t="s">
        <v>62</v>
      </c>
      <c r="G153" s="6" t="s">
        <v>252</v>
      </c>
      <c r="H153" s="22">
        <v>1275.32</v>
      </c>
      <c r="I153" s="9">
        <v>15</v>
      </c>
      <c r="J153" s="22">
        <f t="shared" si="2"/>
        <v>19129.8</v>
      </c>
      <c r="K153" s="9">
        <f t="array" ref="K153">QUARTILE(IF($F$3:$F$1460=$F153,$H$3:$H$1460),1)</f>
        <v>783.15</v>
      </c>
      <c r="L153" s="9">
        <f t="array" ref="L153">QUARTILE(IF($F$3:$F$1460=$F153,$H$3:$H$1460),2)</f>
        <v>1196.3</v>
      </c>
      <c r="M153" s="9">
        <f t="array" ref="M153">QUARTILE(IF($F$3:$F$1460=$F153,$H$3:$H$1460),3)</f>
        <v>1455.5</v>
      </c>
    </row>
    <row r="154" spans="1:13" x14ac:dyDescent="0.25">
      <c r="A154" s="7">
        <v>152</v>
      </c>
      <c r="B154" s="6" t="s">
        <v>130</v>
      </c>
      <c r="C154" s="7">
        <v>4185749</v>
      </c>
      <c r="D154" s="23" t="s">
        <v>131</v>
      </c>
      <c r="E154" s="6" t="s">
        <v>132</v>
      </c>
      <c r="F154" s="21" t="s">
        <v>62</v>
      </c>
      <c r="G154" s="6" t="s">
        <v>253</v>
      </c>
      <c r="H154" s="22">
        <v>673.75</v>
      </c>
      <c r="I154" s="9">
        <v>30</v>
      </c>
      <c r="J154" s="22">
        <f t="shared" si="2"/>
        <v>20212.5</v>
      </c>
      <c r="K154" s="9">
        <f t="array" ref="K154">QUARTILE(IF($F$3:$F$1460=$F154,$H$3:$H$1460),1)</f>
        <v>783.15</v>
      </c>
      <c r="L154" s="9">
        <f t="array" ref="L154">QUARTILE(IF($F$3:$F$1460=$F154,$H$3:$H$1460),2)</f>
        <v>1196.3</v>
      </c>
      <c r="M154" s="9">
        <f t="array" ref="M154">QUARTILE(IF($F$3:$F$1460=$F154,$H$3:$H$1460),3)</f>
        <v>1455.5</v>
      </c>
    </row>
    <row r="155" spans="1:13" x14ac:dyDescent="0.25">
      <c r="A155" s="7">
        <v>153</v>
      </c>
      <c r="B155" s="6" t="s">
        <v>130</v>
      </c>
      <c r="C155" s="7">
        <v>4185749</v>
      </c>
      <c r="D155" s="23" t="s">
        <v>131</v>
      </c>
      <c r="E155" s="6" t="s">
        <v>132</v>
      </c>
      <c r="F155" s="21" t="s">
        <v>62</v>
      </c>
      <c r="G155" s="6" t="s">
        <v>254</v>
      </c>
      <c r="H155" s="22">
        <v>781.2</v>
      </c>
      <c r="I155" s="9">
        <v>18</v>
      </c>
      <c r="J155" s="22">
        <f t="shared" si="2"/>
        <v>14061.6</v>
      </c>
      <c r="K155" s="9">
        <f t="array" ref="K155">QUARTILE(IF($F$3:$F$1460=$F155,$H$3:$H$1460),1)</f>
        <v>783.15</v>
      </c>
      <c r="L155" s="9">
        <f t="array" ref="L155">QUARTILE(IF($F$3:$F$1460=$F155,$H$3:$H$1460),2)</f>
        <v>1196.3</v>
      </c>
      <c r="M155" s="9">
        <f t="array" ref="M155">QUARTILE(IF($F$3:$F$1460=$F155,$H$3:$H$1460),3)</f>
        <v>1455.5</v>
      </c>
    </row>
    <row r="156" spans="1:13" x14ac:dyDescent="0.25">
      <c r="A156" s="7">
        <v>154</v>
      </c>
      <c r="B156" s="6" t="s">
        <v>130</v>
      </c>
      <c r="C156" s="7">
        <v>4185749</v>
      </c>
      <c r="D156" s="23" t="s">
        <v>131</v>
      </c>
      <c r="E156" s="6" t="s">
        <v>132</v>
      </c>
      <c r="F156" s="21" t="s">
        <v>62</v>
      </c>
      <c r="G156" s="6" t="s">
        <v>255</v>
      </c>
      <c r="H156" s="22">
        <v>1287.08</v>
      </c>
      <c r="I156" s="9">
        <v>10</v>
      </c>
      <c r="J156" s="22">
        <f t="shared" si="2"/>
        <v>12870.8</v>
      </c>
      <c r="K156" s="9">
        <f t="array" ref="K156">QUARTILE(IF($F$3:$F$1460=$F156,$H$3:$H$1460),1)</f>
        <v>783.15</v>
      </c>
      <c r="L156" s="9">
        <f t="array" ref="L156">QUARTILE(IF($F$3:$F$1460=$F156,$H$3:$H$1460),2)</f>
        <v>1196.3</v>
      </c>
      <c r="M156" s="9">
        <f t="array" ref="M156">QUARTILE(IF($F$3:$F$1460=$F156,$H$3:$H$1460),3)</f>
        <v>1455.5</v>
      </c>
    </row>
    <row r="157" spans="1:13" x14ac:dyDescent="0.25">
      <c r="A157" s="7">
        <v>155</v>
      </c>
      <c r="B157" s="6" t="s">
        <v>130</v>
      </c>
      <c r="C157" s="7">
        <v>4185749</v>
      </c>
      <c r="D157" s="23" t="s">
        <v>131</v>
      </c>
      <c r="E157" s="6" t="s">
        <v>132</v>
      </c>
      <c r="F157" s="21" t="s">
        <v>62</v>
      </c>
      <c r="G157" s="6" t="s">
        <v>256</v>
      </c>
      <c r="H157" s="22">
        <v>644.73</v>
      </c>
      <c r="I157" s="9">
        <v>25</v>
      </c>
      <c r="J157" s="22">
        <f t="shared" si="2"/>
        <v>16118.25</v>
      </c>
      <c r="K157" s="9">
        <f t="array" ref="K157">QUARTILE(IF($F$3:$F$1460=$F157,$H$3:$H$1460),1)</f>
        <v>783.15</v>
      </c>
      <c r="L157" s="9">
        <f t="array" ref="L157">QUARTILE(IF($F$3:$F$1460=$F157,$H$3:$H$1460),2)</f>
        <v>1196.3</v>
      </c>
      <c r="M157" s="9">
        <f t="array" ref="M157">QUARTILE(IF($F$3:$F$1460=$F157,$H$3:$H$1460),3)</f>
        <v>1455.5</v>
      </c>
    </row>
    <row r="158" spans="1:13" x14ac:dyDescent="0.25">
      <c r="A158" s="7">
        <v>156</v>
      </c>
      <c r="B158" s="6" t="s">
        <v>130</v>
      </c>
      <c r="C158" s="7">
        <v>4185749</v>
      </c>
      <c r="D158" s="23" t="s">
        <v>131</v>
      </c>
      <c r="E158" s="6" t="s">
        <v>132</v>
      </c>
      <c r="F158" s="21" t="s">
        <v>62</v>
      </c>
      <c r="G158" s="6" t="s">
        <v>257</v>
      </c>
      <c r="H158" s="22">
        <v>728.26</v>
      </c>
      <c r="I158" s="9">
        <v>10</v>
      </c>
      <c r="J158" s="22">
        <f t="shared" si="2"/>
        <v>7282.6</v>
      </c>
      <c r="K158" s="9">
        <f t="array" ref="K158">QUARTILE(IF($F$3:$F$1460=$F158,$H$3:$H$1460),1)</f>
        <v>783.15</v>
      </c>
      <c r="L158" s="9">
        <f t="array" ref="L158">QUARTILE(IF($F$3:$F$1460=$F158,$H$3:$H$1460),2)</f>
        <v>1196.3</v>
      </c>
      <c r="M158" s="9">
        <f t="array" ref="M158">QUARTILE(IF($F$3:$F$1460=$F158,$H$3:$H$1460),3)</f>
        <v>1455.5</v>
      </c>
    </row>
    <row r="159" spans="1:13" x14ac:dyDescent="0.25">
      <c r="A159" s="7">
        <v>157</v>
      </c>
      <c r="B159" s="6" t="s">
        <v>130</v>
      </c>
      <c r="C159" s="7">
        <v>4185749</v>
      </c>
      <c r="D159" s="23" t="s">
        <v>131</v>
      </c>
      <c r="E159" s="6" t="s">
        <v>132</v>
      </c>
      <c r="F159" s="21" t="s">
        <v>62</v>
      </c>
      <c r="G159" s="6" t="s">
        <v>258</v>
      </c>
      <c r="H159" s="22">
        <v>828.26</v>
      </c>
      <c r="I159" s="9">
        <v>10</v>
      </c>
      <c r="J159" s="22">
        <f t="shared" si="2"/>
        <v>8282.6</v>
      </c>
      <c r="K159" s="9">
        <f t="array" ref="K159">QUARTILE(IF($F$3:$F$1460=$F159,$H$3:$H$1460),1)</f>
        <v>783.15</v>
      </c>
      <c r="L159" s="9">
        <f t="array" ref="L159">QUARTILE(IF($F$3:$F$1460=$F159,$H$3:$H$1460),2)</f>
        <v>1196.3</v>
      </c>
      <c r="M159" s="9">
        <f t="array" ref="M159">QUARTILE(IF($F$3:$F$1460=$F159,$H$3:$H$1460),3)</f>
        <v>1455.5</v>
      </c>
    </row>
    <row r="160" spans="1:13" x14ac:dyDescent="0.25">
      <c r="A160" s="7">
        <v>158</v>
      </c>
      <c r="B160" s="6" t="s">
        <v>130</v>
      </c>
      <c r="C160" s="7">
        <v>4185749</v>
      </c>
      <c r="D160" s="23" t="s">
        <v>131</v>
      </c>
      <c r="E160" s="6" t="s">
        <v>132</v>
      </c>
      <c r="F160" s="21" t="s">
        <v>62</v>
      </c>
      <c r="G160" s="6" t="s">
        <v>259</v>
      </c>
      <c r="H160" s="22">
        <v>1505.38</v>
      </c>
      <c r="I160" s="9">
        <v>3</v>
      </c>
      <c r="J160" s="22">
        <f t="shared" si="2"/>
        <v>4516.1400000000003</v>
      </c>
      <c r="K160" s="9">
        <f t="array" ref="K160">QUARTILE(IF($F$3:$F$1460=$F160,$H$3:$H$1460),1)</f>
        <v>783.15</v>
      </c>
      <c r="L160" s="9">
        <f t="array" ref="L160">QUARTILE(IF($F$3:$F$1460=$F160,$H$3:$H$1460),2)</f>
        <v>1196.3</v>
      </c>
      <c r="M160" s="9">
        <f t="array" ref="M160">QUARTILE(IF($F$3:$F$1460=$F160,$H$3:$H$1460),3)</f>
        <v>1455.5</v>
      </c>
    </row>
    <row r="161" spans="1:13" x14ac:dyDescent="0.25">
      <c r="A161" s="7">
        <v>159</v>
      </c>
      <c r="B161" s="6" t="s">
        <v>130</v>
      </c>
      <c r="C161" s="7">
        <v>4185749</v>
      </c>
      <c r="D161" s="23" t="s">
        <v>131</v>
      </c>
      <c r="E161" s="6" t="s">
        <v>132</v>
      </c>
      <c r="F161" s="21" t="s">
        <v>62</v>
      </c>
      <c r="G161" s="6" t="s">
        <v>260</v>
      </c>
      <c r="H161" s="22">
        <v>1939.35</v>
      </c>
      <c r="I161" s="9">
        <v>3</v>
      </c>
      <c r="J161" s="22">
        <f t="shared" si="2"/>
        <v>5818.0499999999993</v>
      </c>
      <c r="K161" s="9">
        <f t="array" ref="K161">QUARTILE(IF($F$3:$F$1460=$F161,$H$3:$H$1460),1)</f>
        <v>783.15</v>
      </c>
      <c r="L161" s="9">
        <f t="array" ref="L161">QUARTILE(IF($F$3:$F$1460=$F161,$H$3:$H$1460),2)</f>
        <v>1196.3</v>
      </c>
      <c r="M161" s="9">
        <f t="array" ref="M161">QUARTILE(IF($F$3:$F$1460=$F161,$H$3:$H$1460),3)</f>
        <v>1455.5</v>
      </c>
    </row>
    <row r="162" spans="1:13" x14ac:dyDescent="0.25">
      <c r="A162" s="7">
        <v>160</v>
      </c>
      <c r="B162" s="6" t="s">
        <v>130</v>
      </c>
      <c r="C162" s="7">
        <v>4185749</v>
      </c>
      <c r="D162" s="23" t="s">
        <v>131</v>
      </c>
      <c r="E162" s="6" t="s">
        <v>132</v>
      </c>
      <c r="F162" s="21" t="s">
        <v>62</v>
      </c>
      <c r="G162" s="6" t="s">
        <v>261</v>
      </c>
      <c r="H162" s="22">
        <v>2618.39</v>
      </c>
      <c r="I162" s="9">
        <v>3</v>
      </c>
      <c r="J162" s="22">
        <f t="shared" si="2"/>
        <v>7855.17</v>
      </c>
      <c r="K162" s="9">
        <f t="array" ref="K162">QUARTILE(IF($F$3:$F$1460=$F162,$H$3:$H$1460),1)</f>
        <v>783.15</v>
      </c>
      <c r="L162" s="9">
        <f t="array" ref="L162">QUARTILE(IF($F$3:$F$1460=$F162,$H$3:$H$1460),2)</f>
        <v>1196.3</v>
      </c>
      <c r="M162" s="9">
        <f t="array" ref="M162">QUARTILE(IF($F$3:$F$1460=$F162,$H$3:$H$1460),3)</f>
        <v>1455.5</v>
      </c>
    </row>
    <row r="163" spans="1:13" x14ac:dyDescent="0.25">
      <c r="A163" s="7">
        <v>161</v>
      </c>
      <c r="B163" s="6" t="s">
        <v>130</v>
      </c>
      <c r="C163" s="7">
        <v>4185749</v>
      </c>
      <c r="D163" s="23" t="s">
        <v>131</v>
      </c>
      <c r="E163" s="6" t="s">
        <v>132</v>
      </c>
      <c r="F163" s="21" t="s">
        <v>50</v>
      </c>
      <c r="G163" s="6" t="s">
        <v>144</v>
      </c>
      <c r="H163" s="22">
        <v>307.64999999999998</v>
      </c>
      <c r="I163" s="9">
        <v>10</v>
      </c>
      <c r="J163" s="22">
        <f t="shared" si="2"/>
        <v>3076.5</v>
      </c>
      <c r="K163" s="9">
        <f t="array" ref="K163">QUARTILE(IF($F$3:$F$1460=$F163,$H$3:$H$1460),1)</f>
        <v>307.64999999999998</v>
      </c>
      <c r="L163" s="9">
        <f t="array" ref="L163">QUARTILE(IF($F$3:$F$1460=$F163,$H$3:$H$1460),2)</f>
        <v>533.63</v>
      </c>
      <c r="M163" s="9">
        <f t="array" ref="M163">QUARTILE(IF($F$3:$F$1460=$F163,$H$3:$H$1460),3)</f>
        <v>761.32</v>
      </c>
    </row>
    <row r="164" spans="1:13" x14ac:dyDescent="0.25">
      <c r="A164" s="7">
        <v>162</v>
      </c>
      <c r="B164" s="6" t="s">
        <v>130</v>
      </c>
      <c r="C164" s="7">
        <v>4185749</v>
      </c>
      <c r="D164" s="23" t="s">
        <v>131</v>
      </c>
      <c r="E164" s="6" t="s">
        <v>132</v>
      </c>
      <c r="F164" s="21" t="s">
        <v>50</v>
      </c>
      <c r="G164" s="6" t="s">
        <v>145</v>
      </c>
      <c r="H164" s="22">
        <v>583.49</v>
      </c>
      <c r="I164" s="9">
        <v>5</v>
      </c>
      <c r="J164" s="22">
        <f t="shared" si="2"/>
        <v>2917.45</v>
      </c>
      <c r="K164" s="9">
        <f t="array" ref="K164">QUARTILE(IF($F$3:$F$1460=$F164,$H$3:$H$1460),1)</f>
        <v>307.64999999999998</v>
      </c>
      <c r="L164" s="9">
        <f t="array" ref="L164">QUARTILE(IF($F$3:$F$1460=$F164,$H$3:$H$1460),2)</f>
        <v>533.63</v>
      </c>
      <c r="M164" s="9">
        <f t="array" ref="M164">QUARTILE(IF($F$3:$F$1460=$F164,$H$3:$H$1460),3)</f>
        <v>761.32</v>
      </c>
    </row>
    <row r="165" spans="1:13" x14ac:dyDescent="0.25">
      <c r="A165" s="7">
        <v>163</v>
      </c>
      <c r="B165" s="6" t="s">
        <v>130</v>
      </c>
      <c r="C165" s="7">
        <v>4185749</v>
      </c>
      <c r="D165" s="23" t="s">
        <v>131</v>
      </c>
      <c r="E165" s="6" t="s">
        <v>132</v>
      </c>
      <c r="F165" s="21" t="s">
        <v>50</v>
      </c>
      <c r="G165" s="6" t="s">
        <v>146</v>
      </c>
      <c r="H165" s="22">
        <v>564.66</v>
      </c>
      <c r="I165" s="9">
        <v>5</v>
      </c>
      <c r="J165" s="22">
        <f t="shared" si="2"/>
        <v>2823.2999999999997</v>
      </c>
      <c r="K165" s="9">
        <f t="array" ref="K165">QUARTILE(IF($F$3:$F$1460=$F165,$H$3:$H$1460),1)</f>
        <v>307.64999999999998</v>
      </c>
      <c r="L165" s="9">
        <f t="array" ref="L165">QUARTILE(IF($F$3:$F$1460=$F165,$H$3:$H$1460),2)</f>
        <v>533.63</v>
      </c>
      <c r="M165" s="9">
        <f t="array" ref="M165">QUARTILE(IF($F$3:$F$1460=$F165,$H$3:$H$1460),3)</f>
        <v>761.32</v>
      </c>
    </row>
    <row r="166" spans="1:13" x14ac:dyDescent="0.25">
      <c r="A166" s="7">
        <v>164</v>
      </c>
      <c r="B166" s="6" t="s">
        <v>130</v>
      </c>
      <c r="C166" s="7">
        <v>4185749</v>
      </c>
      <c r="D166" s="23" t="s">
        <v>131</v>
      </c>
      <c r="E166" s="6" t="s">
        <v>132</v>
      </c>
      <c r="F166" s="21" t="s">
        <v>50</v>
      </c>
      <c r="G166" s="6" t="s">
        <v>147</v>
      </c>
      <c r="H166" s="22">
        <v>851.72</v>
      </c>
      <c r="I166" s="9">
        <v>5</v>
      </c>
      <c r="J166" s="22">
        <f t="shared" si="2"/>
        <v>4258.6000000000004</v>
      </c>
      <c r="K166" s="9">
        <f t="array" ref="K166">QUARTILE(IF($F$3:$F$1460=$F166,$H$3:$H$1460),1)</f>
        <v>307.64999999999998</v>
      </c>
      <c r="L166" s="9">
        <f t="array" ref="L166">QUARTILE(IF($F$3:$F$1460=$F166,$H$3:$H$1460),2)</f>
        <v>533.63</v>
      </c>
      <c r="M166" s="9">
        <f t="array" ref="M166">QUARTILE(IF($F$3:$F$1460=$F166,$H$3:$H$1460),3)</f>
        <v>761.32</v>
      </c>
    </row>
    <row r="167" spans="1:13" x14ac:dyDescent="0.25">
      <c r="A167" s="7">
        <v>165</v>
      </c>
      <c r="B167" s="6" t="s">
        <v>130</v>
      </c>
      <c r="C167" s="7">
        <v>4185749</v>
      </c>
      <c r="D167" s="23" t="s">
        <v>131</v>
      </c>
      <c r="E167" s="6" t="s">
        <v>132</v>
      </c>
      <c r="F167" s="21" t="s">
        <v>60</v>
      </c>
      <c r="G167" s="45" t="s">
        <v>262</v>
      </c>
      <c r="H167" s="22">
        <v>638.07000000000005</v>
      </c>
      <c r="I167" s="9">
        <v>30</v>
      </c>
      <c r="J167" s="22">
        <f t="shared" si="2"/>
        <v>19142.100000000002</v>
      </c>
      <c r="K167" s="9">
        <f t="array" ref="K167">QUARTILE(IF($F$3:$F$1460=$F167,$H$3:$H$1460),1)</f>
        <v>680</v>
      </c>
      <c r="L167" s="9">
        <f t="array" ref="L167">QUARTILE(IF($F$3:$F$1460=$F167,$H$3:$H$1460),2)</f>
        <v>991</v>
      </c>
      <c r="M167" s="9">
        <f t="array" ref="M167">QUARTILE(IF($F$3:$F$1460=$F167,$H$3:$H$1460),3)</f>
        <v>1485.8333333333335</v>
      </c>
    </row>
    <row r="168" spans="1:13" x14ac:dyDescent="0.25">
      <c r="A168" s="7">
        <v>166</v>
      </c>
      <c r="B168" s="6" t="s">
        <v>130</v>
      </c>
      <c r="C168" s="7">
        <v>4185749</v>
      </c>
      <c r="D168" s="23" t="s">
        <v>131</v>
      </c>
      <c r="E168" s="6" t="s">
        <v>132</v>
      </c>
      <c r="F168" s="21" t="s">
        <v>60</v>
      </c>
      <c r="G168" s="45" t="s">
        <v>263</v>
      </c>
      <c r="H168" s="22">
        <v>634.54</v>
      </c>
      <c r="I168" s="9">
        <v>50</v>
      </c>
      <c r="J168" s="22">
        <f t="shared" si="2"/>
        <v>31727</v>
      </c>
      <c r="K168" s="9">
        <f t="array" ref="K168">QUARTILE(IF($F$3:$F$1460=$F168,$H$3:$H$1460),1)</f>
        <v>680</v>
      </c>
      <c r="L168" s="9">
        <f t="array" ref="L168">QUARTILE(IF($F$3:$F$1460=$F168,$H$3:$H$1460),2)</f>
        <v>991</v>
      </c>
      <c r="M168" s="9">
        <f t="array" ref="M168">QUARTILE(IF($F$3:$F$1460=$F168,$H$3:$H$1460),3)</f>
        <v>1485.8333333333335</v>
      </c>
    </row>
    <row r="169" spans="1:13" x14ac:dyDescent="0.25">
      <c r="A169" s="7">
        <v>167</v>
      </c>
      <c r="B169" s="6" t="s">
        <v>130</v>
      </c>
      <c r="C169" s="7">
        <v>4185749</v>
      </c>
      <c r="D169" s="23" t="s">
        <v>131</v>
      </c>
      <c r="E169" s="6" t="s">
        <v>132</v>
      </c>
      <c r="F169" s="21" t="s">
        <v>60</v>
      </c>
      <c r="G169" s="45" t="s">
        <v>264</v>
      </c>
      <c r="H169" s="22">
        <v>758.07</v>
      </c>
      <c r="I169" s="9">
        <v>30</v>
      </c>
      <c r="J169" s="22">
        <f t="shared" si="2"/>
        <v>22742.100000000002</v>
      </c>
      <c r="K169" s="9">
        <f t="array" ref="K169">QUARTILE(IF($F$3:$F$1460=$F169,$H$3:$H$1460),1)</f>
        <v>680</v>
      </c>
      <c r="L169" s="9">
        <f t="array" ref="L169">QUARTILE(IF($F$3:$F$1460=$F169,$H$3:$H$1460),2)</f>
        <v>991</v>
      </c>
      <c r="M169" s="9">
        <f t="array" ref="M169">QUARTILE(IF($F$3:$F$1460=$F169,$H$3:$H$1460),3)</f>
        <v>1485.8333333333335</v>
      </c>
    </row>
    <row r="170" spans="1:13" x14ac:dyDescent="0.25">
      <c r="A170" s="7">
        <v>168</v>
      </c>
      <c r="B170" s="6" t="s">
        <v>130</v>
      </c>
      <c r="C170" s="7">
        <v>4185749</v>
      </c>
      <c r="D170" s="23" t="s">
        <v>131</v>
      </c>
      <c r="E170" s="6" t="s">
        <v>132</v>
      </c>
      <c r="F170" s="21" t="s">
        <v>60</v>
      </c>
      <c r="G170" s="45" t="s">
        <v>151</v>
      </c>
      <c r="H170" s="22">
        <v>993.36</v>
      </c>
      <c r="I170" s="9">
        <v>20</v>
      </c>
      <c r="J170" s="22">
        <f t="shared" si="2"/>
        <v>19867.2</v>
      </c>
      <c r="K170" s="9">
        <f t="array" ref="K170">QUARTILE(IF($F$3:$F$1460=$F170,$H$3:$H$1460),1)</f>
        <v>680</v>
      </c>
      <c r="L170" s="9">
        <f t="array" ref="L170">QUARTILE(IF($F$3:$F$1460=$F170,$H$3:$H$1460),2)</f>
        <v>991</v>
      </c>
      <c r="M170" s="9">
        <f t="array" ref="M170">QUARTILE(IF($F$3:$F$1460=$F170,$H$3:$H$1460),3)</f>
        <v>1485.8333333333335</v>
      </c>
    </row>
    <row r="171" spans="1:13" x14ac:dyDescent="0.25">
      <c r="A171" s="7">
        <v>169</v>
      </c>
      <c r="B171" s="6" t="s">
        <v>130</v>
      </c>
      <c r="C171" s="7">
        <v>4185749</v>
      </c>
      <c r="D171" s="23" t="s">
        <v>131</v>
      </c>
      <c r="E171" s="6" t="s">
        <v>132</v>
      </c>
      <c r="F171" s="21" t="s">
        <v>60</v>
      </c>
      <c r="G171" s="45" t="s">
        <v>152</v>
      </c>
      <c r="H171" s="22">
        <v>1122.78</v>
      </c>
      <c r="I171" s="9">
        <v>20</v>
      </c>
      <c r="J171" s="22">
        <f t="shared" si="2"/>
        <v>22455.599999999999</v>
      </c>
      <c r="K171" s="9">
        <f t="array" ref="K171">QUARTILE(IF($F$3:$F$1460=$F171,$H$3:$H$1460),1)</f>
        <v>680</v>
      </c>
      <c r="L171" s="9">
        <f t="array" ref="L171">QUARTILE(IF($F$3:$F$1460=$F171,$H$3:$H$1460),2)</f>
        <v>991</v>
      </c>
      <c r="M171" s="9">
        <f t="array" ref="M171">QUARTILE(IF($F$3:$F$1460=$F171,$H$3:$H$1460),3)</f>
        <v>1485.8333333333335</v>
      </c>
    </row>
    <row r="172" spans="1:13" x14ac:dyDescent="0.25">
      <c r="A172" s="7">
        <v>170</v>
      </c>
      <c r="B172" s="6" t="s">
        <v>130</v>
      </c>
      <c r="C172" s="7">
        <v>4185749</v>
      </c>
      <c r="D172" s="23" t="s">
        <v>131</v>
      </c>
      <c r="E172" s="6" t="s">
        <v>132</v>
      </c>
      <c r="F172" s="21" t="s">
        <v>60</v>
      </c>
      <c r="G172" s="45" t="s">
        <v>153</v>
      </c>
      <c r="H172" s="22">
        <v>1205.1300000000001</v>
      </c>
      <c r="I172" s="9">
        <v>20</v>
      </c>
      <c r="J172" s="22">
        <f t="shared" si="2"/>
        <v>24102.600000000002</v>
      </c>
      <c r="K172" s="9">
        <f t="array" ref="K172">QUARTILE(IF($F$3:$F$1460=$F172,$H$3:$H$1460),1)</f>
        <v>680</v>
      </c>
      <c r="L172" s="9">
        <f t="array" ref="L172">QUARTILE(IF($F$3:$F$1460=$F172,$H$3:$H$1460),2)</f>
        <v>991</v>
      </c>
      <c r="M172" s="9">
        <f t="array" ref="M172">QUARTILE(IF($F$3:$F$1460=$F172,$H$3:$H$1460),3)</f>
        <v>1485.8333333333335</v>
      </c>
    </row>
    <row r="173" spans="1:13" x14ac:dyDescent="0.25">
      <c r="A173" s="7">
        <v>171</v>
      </c>
      <c r="B173" s="6" t="s">
        <v>130</v>
      </c>
      <c r="C173" s="7">
        <v>4185749</v>
      </c>
      <c r="D173" s="23" t="s">
        <v>131</v>
      </c>
      <c r="E173" s="6" t="s">
        <v>132</v>
      </c>
      <c r="F173" s="21" t="s">
        <v>60</v>
      </c>
      <c r="G173" s="45" t="s">
        <v>154</v>
      </c>
      <c r="H173" s="22">
        <v>658.07</v>
      </c>
      <c r="I173" s="9">
        <v>20</v>
      </c>
      <c r="J173" s="22">
        <f t="shared" si="2"/>
        <v>13161.400000000001</v>
      </c>
      <c r="K173" s="9">
        <f t="array" ref="K173">QUARTILE(IF($F$3:$F$1460=$F173,$H$3:$H$1460),1)</f>
        <v>680</v>
      </c>
      <c r="L173" s="9">
        <f t="array" ref="L173">QUARTILE(IF($F$3:$F$1460=$F173,$H$3:$H$1460),2)</f>
        <v>991</v>
      </c>
      <c r="M173" s="9">
        <f t="array" ref="M173">QUARTILE(IF($F$3:$F$1460=$F173,$H$3:$H$1460),3)</f>
        <v>1485.8333333333335</v>
      </c>
    </row>
    <row r="174" spans="1:13" x14ac:dyDescent="0.25">
      <c r="A174" s="7">
        <v>172</v>
      </c>
      <c r="B174" s="6" t="s">
        <v>130</v>
      </c>
      <c r="C174" s="7">
        <v>4185749</v>
      </c>
      <c r="D174" s="23" t="s">
        <v>131</v>
      </c>
      <c r="E174" s="6" t="s">
        <v>132</v>
      </c>
      <c r="F174" s="21" t="s">
        <v>60</v>
      </c>
      <c r="G174" s="45" t="s">
        <v>155</v>
      </c>
      <c r="H174" s="22">
        <v>763.95</v>
      </c>
      <c r="I174" s="9">
        <v>10</v>
      </c>
      <c r="J174" s="22">
        <f t="shared" si="2"/>
        <v>7639.5</v>
      </c>
      <c r="K174" s="9">
        <f t="array" ref="K174">QUARTILE(IF($F$3:$F$1460=$F174,$H$3:$H$1460),1)</f>
        <v>680</v>
      </c>
      <c r="L174" s="9">
        <f t="array" ref="L174">QUARTILE(IF($F$3:$F$1460=$F174,$H$3:$H$1460),2)</f>
        <v>991</v>
      </c>
      <c r="M174" s="9">
        <f t="array" ref="M174">QUARTILE(IF($F$3:$F$1460=$F174,$H$3:$H$1460),3)</f>
        <v>1485.8333333333335</v>
      </c>
    </row>
    <row r="175" spans="1:13" x14ac:dyDescent="0.25">
      <c r="A175" s="7">
        <v>173</v>
      </c>
      <c r="B175" s="6" t="s">
        <v>130</v>
      </c>
      <c r="C175" s="7">
        <v>4185749</v>
      </c>
      <c r="D175" s="23" t="s">
        <v>131</v>
      </c>
      <c r="E175" s="6" t="s">
        <v>132</v>
      </c>
      <c r="F175" s="21" t="s">
        <v>60</v>
      </c>
      <c r="G175" s="45" t="s">
        <v>156</v>
      </c>
      <c r="H175" s="22">
        <v>1240.42</v>
      </c>
      <c r="I175" s="9">
        <v>10</v>
      </c>
      <c r="J175" s="22">
        <f t="shared" si="2"/>
        <v>12404.2</v>
      </c>
      <c r="K175" s="9">
        <f t="array" ref="K175">QUARTILE(IF($F$3:$F$1460=$F175,$H$3:$H$1460),1)</f>
        <v>680</v>
      </c>
      <c r="L175" s="9">
        <f t="array" ref="L175">QUARTILE(IF($F$3:$F$1460=$F175,$H$3:$H$1460),2)</f>
        <v>991</v>
      </c>
      <c r="M175" s="9">
        <f t="array" ref="M175">QUARTILE(IF($F$3:$F$1460=$F175,$H$3:$H$1460),3)</f>
        <v>1485.8333333333335</v>
      </c>
    </row>
    <row r="176" spans="1:13" x14ac:dyDescent="0.25">
      <c r="A176" s="7">
        <v>174</v>
      </c>
      <c r="B176" s="6" t="s">
        <v>130</v>
      </c>
      <c r="C176" s="7">
        <v>4185749</v>
      </c>
      <c r="D176" s="23" t="s">
        <v>131</v>
      </c>
      <c r="E176" s="6" t="s">
        <v>132</v>
      </c>
      <c r="F176" s="21" t="s">
        <v>60</v>
      </c>
      <c r="G176" s="45" t="s">
        <v>157</v>
      </c>
      <c r="H176" s="22">
        <v>1475.72</v>
      </c>
      <c r="I176" s="9">
        <v>10</v>
      </c>
      <c r="J176" s="22">
        <f t="shared" si="2"/>
        <v>14757.2</v>
      </c>
      <c r="K176" s="9">
        <f t="array" ref="K176">QUARTILE(IF($F$3:$F$1460=$F176,$H$3:$H$1460),1)</f>
        <v>680</v>
      </c>
      <c r="L176" s="9">
        <f t="array" ref="L176">QUARTILE(IF($F$3:$F$1460=$F176,$H$3:$H$1460),2)</f>
        <v>991</v>
      </c>
      <c r="M176" s="9">
        <f t="array" ref="M176">QUARTILE(IF($F$3:$F$1460=$F176,$H$3:$H$1460),3)</f>
        <v>1485.8333333333335</v>
      </c>
    </row>
    <row r="177" spans="1:13" x14ac:dyDescent="0.25">
      <c r="A177" s="7">
        <v>175</v>
      </c>
      <c r="B177" s="6" t="s">
        <v>130</v>
      </c>
      <c r="C177" s="7">
        <v>4185749</v>
      </c>
      <c r="D177" s="23" t="s">
        <v>131</v>
      </c>
      <c r="E177" s="6" t="s">
        <v>132</v>
      </c>
      <c r="F177" s="21" t="s">
        <v>60</v>
      </c>
      <c r="G177" s="45" t="s">
        <v>158</v>
      </c>
      <c r="H177" s="22">
        <v>1063.95</v>
      </c>
      <c r="I177" s="9">
        <v>6</v>
      </c>
      <c r="J177" s="22">
        <f t="shared" si="2"/>
        <v>6383.7000000000007</v>
      </c>
      <c r="K177" s="9">
        <f t="array" ref="K177">QUARTILE(IF($F$3:$F$1460=$F177,$H$3:$H$1460),1)</f>
        <v>680</v>
      </c>
      <c r="L177" s="9">
        <f t="array" ref="L177">QUARTILE(IF($F$3:$F$1460=$F177,$H$3:$H$1460),2)</f>
        <v>991</v>
      </c>
      <c r="M177" s="9">
        <f t="array" ref="M177">QUARTILE(IF($F$3:$F$1460=$F177,$H$3:$H$1460),3)</f>
        <v>1485.8333333333335</v>
      </c>
    </row>
    <row r="178" spans="1:13" x14ac:dyDescent="0.25">
      <c r="A178" s="7">
        <v>176</v>
      </c>
      <c r="B178" s="6" t="s">
        <v>130</v>
      </c>
      <c r="C178" s="7">
        <v>4185749</v>
      </c>
      <c r="D178" s="23" t="s">
        <v>131</v>
      </c>
      <c r="E178" s="6" t="s">
        <v>132</v>
      </c>
      <c r="F178" s="21" t="s">
        <v>60</v>
      </c>
      <c r="G178" s="45" t="s">
        <v>159</v>
      </c>
      <c r="H178" s="22">
        <v>1675.72</v>
      </c>
      <c r="I178" s="9">
        <v>4</v>
      </c>
      <c r="J178" s="22">
        <f t="shared" si="2"/>
        <v>6702.88</v>
      </c>
      <c r="K178" s="9">
        <f t="array" ref="K178">QUARTILE(IF($F$3:$F$1460=$F178,$H$3:$H$1460),1)</f>
        <v>680</v>
      </c>
      <c r="L178" s="9">
        <f t="array" ref="L178">QUARTILE(IF($F$3:$F$1460=$F178,$H$3:$H$1460),2)</f>
        <v>991</v>
      </c>
      <c r="M178" s="9">
        <f t="array" ref="M178">QUARTILE(IF($F$3:$F$1460=$F178,$H$3:$H$1460),3)</f>
        <v>1485.8333333333335</v>
      </c>
    </row>
    <row r="179" spans="1:13" x14ac:dyDescent="0.25">
      <c r="A179" s="7">
        <v>177</v>
      </c>
      <c r="B179" s="6" t="s">
        <v>130</v>
      </c>
      <c r="C179" s="7">
        <v>4185749</v>
      </c>
      <c r="D179" s="23" t="s">
        <v>131</v>
      </c>
      <c r="E179" s="6" t="s">
        <v>132</v>
      </c>
      <c r="F179" s="21" t="s">
        <v>60</v>
      </c>
      <c r="G179" s="45" t="s">
        <v>160</v>
      </c>
      <c r="H179" s="22">
        <v>2346.31</v>
      </c>
      <c r="I179" s="9">
        <v>3</v>
      </c>
      <c r="J179" s="22">
        <f t="shared" si="2"/>
        <v>7038.93</v>
      </c>
      <c r="K179" s="9">
        <f t="array" ref="K179">QUARTILE(IF($F$3:$F$1460=$F179,$H$3:$H$1460),1)</f>
        <v>680</v>
      </c>
      <c r="L179" s="9">
        <f t="array" ref="L179">QUARTILE(IF($F$3:$F$1460=$F179,$H$3:$H$1460),2)</f>
        <v>991</v>
      </c>
      <c r="M179" s="9">
        <f t="array" ref="M179">QUARTILE(IF($F$3:$F$1460=$F179,$H$3:$H$1460),3)</f>
        <v>1485.8333333333335</v>
      </c>
    </row>
    <row r="180" spans="1:13" x14ac:dyDescent="0.25">
      <c r="A180" s="7">
        <v>178</v>
      </c>
      <c r="B180" s="6" t="s">
        <v>130</v>
      </c>
      <c r="C180" s="7">
        <v>4185749</v>
      </c>
      <c r="D180" s="23" t="s">
        <v>131</v>
      </c>
      <c r="E180" s="6" t="s">
        <v>132</v>
      </c>
      <c r="F180" s="21" t="s">
        <v>44</v>
      </c>
      <c r="G180" s="45" t="s">
        <v>161</v>
      </c>
      <c r="H180" s="22">
        <v>71.41</v>
      </c>
      <c r="I180" s="9">
        <v>50</v>
      </c>
      <c r="J180" s="22">
        <f t="shared" si="2"/>
        <v>3570.5</v>
      </c>
      <c r="K180" s="9">
        <f t="array" ref="K180">QUARTILE(IF($F$3:$F$1460=$F180,$H$3:$H$1460),1)</f>
        <v>141.67500000000001</v>
      </c>
      <c r="L180" s="9">
        <f t="array" ref="L180">QUARTILE(IF($F$3:$F$1460=$F180,$H$3:$H$1460),2)</f>
        <v>194</v>
      </c>
      <c r="M180" s="9">
        <f t="array" ref="M180">QUARTILE(IF($F$3:$F$1460=$F180,$H$3:$H$1460),3)</f>
        <v>266.75</v>
      </c>
    </row>
    <row r="181" spans="1:13" x14ac:dyDescent="0.25">
      <c r="A181" s="7">
        <v>179</v>
      </c>
      <c r="B181" s="6" t="s">
        <v>130</v>
      </c>
      <c r="C181" s="7">
        <v>4185749</v>
      </c>
      <c r="D181" s="23" t="s">
        <v>131</v>
      </c>
      <c r="E181" s="6" t="s">
        <v>132</v>
      </c>
      <c r="F181" s="21" t="s">
        <v>44</v>
      </c>
      <c r="G181" s="45" t="s">
        <v>162</v>
      </c>
      <c r="H181" s="22">
        <v>97.38</v>
      </c>
      <c r="I181" s="9">
        <v>100</v>
      </c>
      <c r="J181" s="22">
        <f t="shared" si="2"/>
        <v>9738</v>
      </c>
      <c r="K181" s="9">
        <f t="array" ref="K181">QUARTILE(IF($F$3:$F$1460=$F181,$H$3:$H$1460),1)</f>
        <v>141.67500000000001</v>
      </c>
      <c r="L181" s="9">
        <f t="array" ref="L181">QUARTILE(IF($F$3:$F$1460=$F181,$H$3:$H$1460),2)</f>
        <v>194</v>
      </c>
      <c r="M181" s="9">
        <f t="array" ref="M181">QUARTILE(IF($F$3:$F$1460=$F181,$H$3:$H$1460),3)</f>
        <v>266.75</v>
      </c>
    </row>
    <row r="182" spans="1:13" x14ac:dyDescent="0.25">
      <c r="A182" s="7">
        <v>180</v>
      </c>
      <c r="B182" s="6" t="s">
        <v>130</v>
      </c>
      <c r="C182" s="7">
        <v>4185749</v>
      </c>
      <c r="D182" s="23" t="s">
        <v>131</v>
      </c>
      <c r="E182" s="6" t="s">
        <v>132</v>
      </c>
      <c r="F182" s="21" t="s">
        <v>44</v>
      </c>
      <c r="G182" s="45" t="s">
        <v>163</v>
      </c>
      <c r="H182" s="22">
        <v>130.91</v>
      </c>
      <c r="I182" s="9">
        <v>50</v>
      </c>
      <c r="J182" s="22">
        <f t="shared" si="2"/>
        <v>6545.5</v>
      </c>
      <c r="K182" s="9">
        <f t="array" ref="K182">QUARTILE(IF($F$3:$F$1460=$F182,$H$3:$H$1460),1)</f>
        <v>141.67500000000001</v>
      </c>
      <c r="L182" s="9">
        <f t="array" ref="L182">QUARTILE(IF($F$3:$F$1460=$F182,$H$3:$H$1460),2)</f>
        <v>194</v>
      </c>
      <c r="M182" s="9">
        <f t="array" ref="M182">QUARTILE(IF($F$3:$F$1460=$F182,$H$3:$H$1460),3)</f>
        <v>266.75</v>
      </c>
    </row>
    <row r="183" spans="1:13" x14ac:dyDescent="0.25">
      <c r="A183" s="7">
        <v>181</v>
      </c>
      <c r="B183" s="6" t="s">
        <v>130</v>
      </c>
      <c r="C183" s="7">
        <v>4185749</v>
      </c>
      <c r="D183" s="23" t="s">
        <v>131</v>
      </c>
      <c r="E183" s="6" t="s">
        <v>132</v>
      </c>
      <c r="F183" s="21" t="s">
        <v>44</v>
      </c>
      <c r="G183" s="45" t="s">
        <v>164</v>
      </c>
      <c r="H183" s="22">
        <v>183.91</v>
      </c>
      <c r="I183" s="9">
        <v>30</v>
      </c>
      <c r="J183" s="22">
        <f t="shared" si="2"/>
        <v>5517.3</v>
      </c>
      <c r="K183" s="9">
        <f t="array" ref="K183">QUARTILE(IF($F$3:$F$1460=$F183,$H$3:$H$1460),1)</f>
        <v>141.67500000000001</v>
      </c>
      <c r="L183" s="9">
        <f t="array" ref="L183">QUARTILE(IF($F$3:$F$1460=$F183,$H$3:$H$1460),2)</f>
        <v>194</v>
      </c>
      <c r="M183" s="9">
        <f t="array" ref="M183">QUARTILE(IF($F$3:$F$1460=$F183,$H$3:$H$1460),3)</f>
        <v>266.75</v>
      </c>
    </row>
    <row r="184" spans="1:13" x14ac:dyDescent="0.25">
      <c r="A184" s="7">
        <v>182</v>
      </c>
      <c r="B184" s="6" t="s">
        <v>130</v>
      </c>
      <c r="C184" s="7">
        <v>4185749</v>
      </c>
      <c r="D184" s="23" t="s">
        <v>131</v>
      </c>
      <c r="E184" s="6" t="s">
        <v>132</v>
      </c>
      <c r="F184" s="21" t="s">
        <v>44</v>
      </c>
      <c r="G184" s="45" t="s">
        <v>165</v>
      </c>
      <c r="H184" s="22">
        <v>313.72000000000003</v>
      </c>
      <c r="I184" s="9">
        <v>10</v>
      </c>
      <c r="J184" s="22">
        <f t="shared" si="2"/>
        <v>3137.2000000000003</v>
      </c>
      <c r="K184" s="9">
        <f t="array" ref="K184">QUARTILE(IF($F$3:$F$1460=$F184,$H$3:$H$1460),1)</f>
        <v>141.67500000000001</v>
      </c>
      <c r="L184" s="9">
        <f t="array" ref="L184">QUARTILE(IF($F$3:$F$1460=$F184,$H$3:$H$1460),2)</f>
        <v>194</v>
      </c>
      <c r="M184" s="9">
        <f t="array" ref="M184">QUARTILE(IF($F$3:$F$1460=$F184,$H$3:$H$1460),3)</f>
        <v>266.75</v>
      </c>
    </row>
    <row r="185" spans="1:13" x14ac:dyDescent="0.25">
      <c r="A185" s="7">
        <v>183</v>
      </c>
      <c r="B185" s="6" t="s">
        <v>130</v>
      </c>
      <c r="C185" s="7">
        <v>4185749</v>
      </c>
      <c r="D185" s="23" t="s">
        <v>131</v>
      </c>
      <c r="E185" s="6" t="s">
        <v>132</v>
      </c>
      <c r="F185" s="21" t="s">
        <v>44</v>
      </c>
      <c r="G185" s="45" t="s">
        <v>166</v>
      </c>
      <c r="H185" s="22">
        <v>492.96</v>
      </c>
      <c r="I185" s="9">
        <v>10</v>
      </c>
      <c r="J185" s="22">
        <f t="shared" si="2"/>
        <v>4929.5999999999995</v>
      </c>
      <c r="K185" s="9">
        <f t="array" ref="K185">QUARTILE(IF($F$3:$F$1460=$F185,$H$3:$H$1460),1)</f>
        <v>141.67500000000001</v>
      </c>
      <c r="L185" s="9">
        <f t="array" ref="L185">QUARTILE(IF($F$3:$F$1460=$F185,$H$3:$H$1460),2)</f>
        <v>194</v>
      </c>
      <c r="M185" s="9">
        <f t="array" ref="M185">QUARTILE(IF($F$3:$F$1460=$F185,$H$3:$H$1460),3)</f>
        <v>266.75</v>
      </c>
    </row>
    <row r="186" spans="1:13" x14ac:dyDescent="0.25">
      <c r="A186" s="7">
        <v>184</v>
      </c>
      <c r="B186" s="6" t="s">
        <v>130</v>
      </c>
      <c r="C186" s="7">
        <v>4185749</v>
      </c>
      <c r="D186" s="23" t="s">
        <v>131</v>
      </c>
      <c r="E186" s="6" t="s">
        <v>132</v>
      </c>
      <c r="F186" s="21" t="s">
        <v>46</v>
      </c>
      <c r="G186" s="45" t="s">
        <v>167</v>
      </c>
      <c r="H186" s="22">
        <v>91.08</v>
      </c>
      <c r="I186" s="9">
        <v>10</v>
      </c>
      <c r="J186" s="22">
        <f t="shared" si="2"/>
        <v>910.8</v>
      </c>
      <c r="K186" s="9">
        <f t="array" ref="K186">QUARTILE(IF($F$3:$F$1460=$F186,$H$3:$H$1460),1)</f>
        <v>229.78</v>
      </c>
      <c r="L186" s="9">
        <f t="array" ref="L186">QUARTILE(IF($F$3:$F$1460=$F186,$H$3:$H$1460),2)</f>
        <v>424.2</v>
      </c>
      <c r="M186" s="9">
        <f t="array" ref="M186">QUARTILE(IF($F$3:$F$1460=$F186,$H$3:$H$1460),3)</f>
        <v>1030.3</v>
      </c>
    </row>
    <row r="187" spans="1:13" x14ac:dyDescent="0.25">
      <c r="A187" s="7">
        <v>185</v>
      </c>
      <c r="B187" s="6" t="s">
        <v>130</v>
      </c>
      <c r="C187" s="7">
        <v>4185749</v>
      </c>
      <c r="D187" s="23" t="s">
        <v>131</v>
      </c>
      <c r="E187" s="6" t="s">
        <v>132</v>
      </c>
      <c r="F187" s="21" t="s">
        <v>46</v>
      </c>
      <c r="G187" s="45" t="s">
        <v>168</v>
      </c>
      <c r="H187" s="22">
        <v>244.71</v>
      </c>
      <c r="I187" s="9">
        <v>10</v>
      </c>
      <c r="J187" s="22">
        <f t="shared" si="2"/>
        <v>2447.1</v>
      </c>
      <c r="K187" s="9">
        <f t="array" ref="K187">QUARTILE(IF($F$3:$F$1460=$F187,$H$3:$H$1460),1)</f>
        <v>229.78</v>
      </c>
      <c r="L187" s="9">
        <f t="array" ref="L187">QUARTILE(IF($F$3:$F$1460=$F187,$H$3:$H$1460),2)</f>
        <v>424.2</v>
      </c>
      <c r="M187" s="9">
        <f t="array" ref="M187">QUARTILE(IF($F$3:$F$1460=$F187,$H$3:$H$1460),3)</f>
        <v>1030.3</v>
      </c>
    </row>
    <row r="188" spans="1:13" x14ac:dyDescent="0.25">
      <c r="A188" s="7">
        <v>186</v>
      </c>
      <c r="B188" s="6" t="s">
        <v>130</v>
      </c>
      <c r="C188" s="7">
        <v>4185749</v>
      </c>
      <c r="D188" s="23" t="s">
        <v>131</v>
      </c>
      <c r="E188" s="6" t="s">
        <v>132</v>
      </c>
      <c r="F188" s="21" t="s">
        <v>46</v>
      </c>
      <c r="G188" s="45" t="s">
        <v>169</v>
      </c>
      <c r="H188" s="22">
        <v>154.79</v>
      </c>
      <c r="I188" s="9">
        <v>10</v>
      </c>
      <c r="J188" s="22">
        <f t="shared" si="2"/>
        <v>1547.8999999999999</v>
      </c>
      <c r="K188" s="9">
        <f t="array" ref="K188">QUARTILE(IF($F$3:$F$1460=$F188,$H$3:$H$1460),1)</f>
        <v>229.78</v>
      </c>
      <c r="L188" s="9">
        <f t="array" ref="L188">QUARTILE(IF($F$3:$F$1460=$F188,$H$3:$H$1460),2)</f>
        <v>424.2</v>
      </c>
      <c r="M188" s="9">
        <f t="array" ref="M188">QUARTILE(IF($F$3:$F$1460=$F188,$H$3:$H$1460),3)</f>
        <v>1030.3</v>
      </c>
    </row>
    <row r="189" spans="1:13" x14ac:dyDescent="0.25">
      <c r="A189" s="7">
        <v>187</v>
      </c>
      <c r="B189" s="6" t="s">
        <v>130</v>
      </c>
      <c r="C189" s="7">
        <v>4185749</v>
      </c>
      <c r="D189" s="23" t="s">
        <v>131</v>
      </c>
      <c r="E189" s="6" t="s">
        <v>132</v>
      </c>
      <c r="F189" s="21" t="s">
        <v>46</v>
      </c>
      <c r="G189" s="45" t="s">
        <v>265</v>
      </c>
      <c r="H189" s="22">
        <v>664.71</v>
      </c>
      <c r="I189" s="9">
        <v>2</v>
      </c>
      <c r="J189" s="22">
        <f t="shared" si="2"/>
        <v>1329.42</v>
      </c>
      <c r="K189" s="9">
        <f t="array" ref="K189">QUARTILE(IF($F$3:$F$1460=$F189,$H$3:$H$1460),1)</f>
        <v>229.78</v>
      </c>
      <c r="L189" s="9">
        <f t="array" ref="L189">QUARTILE(IF($F$3:$F$1460=$F189,$H$3:$H$1460),2)</f>
        <v>424.2</v>
      </c>
      <c r="M189" s="9">
        <f t="array" ref="M189">QUARTILE(IF($F$3:$F$1460=$F189,$H$3:$H$1460),3)</f>
        <v>1030.3</v>
      </c>
    </row>
    <row r="190" spans="1:13" x14ac:dyDescent="0.25">
      <c r="A190" s="7">
        <v>188</v>
      </c>
      <c r="B190" s="6" t="s">
        <v>130</v>
      </c>
      <c r="C190" s="7">
        <v>4185749</v>
      </c>
      <c r="D190" s="23" t="s">
        <v>131</v>
      </c>
      <c r="E190" s="6" t="s">
        <v>132</v>
      </c>
      <c r="F190" s="21" t="s">
        <v>46</v>
      </c>
      <c r="G190" s="45" t="s">
        <v>266</v>
      </c>
      <c r="H190" s="22">
        <v>304.54000000000002</v>
      </c>
      <c r="I190" s="9">
        <v>10</v>
      </c>
      <c r="J190" s="22">
        <f t="shared" si="2"/>
        <v>3045.4</v>
      </c>
      <c r="K190" s="9">
        <f t="array" ref="K190">QUARTILE(IF($F$3:$F$1460=$F190,$H$3:$H$1460),1)</f>
        <v>229.78</v>
      </c>
      <c r="L190" s="9">
        <f t="array" ref="L190">QUARTILE(IF($F$3:$F$1460=$F190,$H$3:$H$1460),2)</f>
        <v>424.2</v>
      </c>
      <c r="M190" s="9">
        <f t="array" ref="M190">QUARTILE(IF($F$3:$F$1460=$F190,$H$3:$H$1460),3)</f>
        <v>1030.3</v>
      </c>
    </row>
    <row r="191" spans="1:13" x14ac:dyDescent="0.25">
      <c r="A191" s="7">
        <v>189</v>
      </c>
      <c r="B191" s="6" t="s">
        <v>130</v>
      </c>
      <c r="C191" s="7">
        <v>4185749</v>
      </c>
      <c r="D191" s="23" t="s">
        <v>131</v>
      </c>
      <c r="E191" s="6" t="s">
        <v>132</v>
      </c>
      <c r="F191" s="21" t="s">
        <v>46</v>
      </c>
      <c r="G191" s="45" t="s">
        <v>267</v>
      </c>
      <c r="H191" s="22">
        <v>576.47</v>
      </c>
      <c r="I191" s="9">
        <v>6</v>
      </c>
      <c r="J191" s="22">
        <f t="shared" si="2"/>
        <v>3458.82</v>
      </c>
      <c r="K191" s="9">
        <f t="array" ref="K191">QUARTILE(IF($F$3:$F$1460=$F191,$H$3:$H$1460),1)</f>
        <v>229.78</v>
      </c>
      <c r="L191" s="9">
        <f t="array" ref="L191">QUARTILE(IF($F$3:$F$1460=$F191,$H$3:$H$1460),2)</f>
        <v>424.2</v>
      </c>
      <c r="M191" s="9">
        <f t="array" ref="M191">QUARTILE(IF($F$3:$F$1460=$F191,$H$3:$H$1460),3)</f>
        <v>1030.3</v>
      </c>
    </row>
    <row r="192" spans="1:13" x14ac:dyDescent="0.25">
      <c r="A192" s="7">
        <v>190</v>
      </c>
      <c r="B192" s="6" t="s">
        <v>130</v>
      </c>
      <c r="C192" s="7">
        <v>4185749</v>
      </c>
      <c r="D192" s="23" t="s">
        <v>131</v>
      </c>
      <c r="E192" s="6" t="s">
        <v>132</v>
      </c>
      <c r="F192" s="21" t="s">
        <v>54</v>
      </c>
      <c r="G192" s="45" t="s">
        <v>268</v>
      </c>
      <c r="H192" s="22">
        <v>460</v>
      </c>
      <c r="I192" s="9">
        <v>10</v>
      </c>
      <c r="J192" s="22">
        <f t="shared" si="2"/>
        <v>4600</v>
      </c>
      <c r="K192" s="9">
        <f t="array" ref="K192">QUARTILE(IF($F$3:$F$1460=$F192,$H$3:$H$1460),1)</f>
        <v>393.94499999999999</v>
      </c>
      <c r="L192" s="9">
        <f t="array" ref="L192">QUARTILE(IF($F$3:$F$1460=$F192,$H$3:$H$1460),2)</f>
        <v>710.01499999999999</v>
      </c>
      <c r="M192" s="9">
        <f t="array" ref="M192">QUARTILE(IF($F$3:$F$1460=$F192,$H$3:$H$1460),3)</f>
        <v>2552.0574999999999</v>
      </c>
    </row>
    <row r="193" spans="1:13" x14ac:dyDescent="0.25">
      <c r="A193" s="7">
        <v>191</v>
      </c>
      <c r="B193" s="6" t="s">
        <v>130</v>
      </c>
      <c r="C193" s="7">
        <v>4185749</v>
      </c>
      <c r="D193" s="23" t="s">
        <v>131</v>
      </c>
      <c r="E193" s="6" t="s">
        <v>132</v>
      </c>
      <c r="F193" s="21" t="s">
        <v>54</v>
      </c>
      <c r="G193" s="45" t="s">
        <v>269</v>
      </c>
      <c r="H193" s="22">
        <v>125.44</v>
      </c>
      <c r="I193" s="9">
        <v>5</v>
      </c>
      <c r="J193" s="22">
        <f t="shared" si="2"/>
        <v>627.20000000000005</v>
      </c>
      <c r="K193" s="9">
        <f t="array" ref="K193">QUARTILE(IF($F$3:$F$1460=$F193,$H$3:$H$1460),1)</f>
        <v>393.94499999999999</v>
      </c>
      <c r="L193" s="9">
        <f t="array" ref="L193">QUARTILE(IF($F$3:$F$1460=$F193,$H$3:$H$1460),2)</f>
        <v>710.01499999999999</v>
      </c>
      <c r="M193" s="9">
        <f t="array" ref="M193">QUARTILE(IF($F$3:$F$1460=$F193,$H$3:$H$1460),3)</f>
        <v>2552.0574999999999</v>
      </c>
    </row>
    <row r="194" spans="1:13" x14ac:dyDescent="0.25">
      <c r="A194" s="7">
        <v>192</v>
      </c>
      <c r="B194" s="6" t="s">
        <v>130</v>
      </c>
      <c r="C194" s="7">
        <v>4185749</v>
      </c>
      <c r="D194" s="23" t="s">
        <v>131</v>
      </c>
      <c r="E194" s="6" t="s">
        <v>132</v>
      </c>
      <c r="F194" s="21" t="s">
        <v>54</v>
      </c>
      <c r="G194" s="45" t="s">
        <v>270</v>
      </c>
      <c r="H194" s="22">
        <v>205.85</v>
      </c>
      <c r="I194" s="9">
        <v>5</v>
      </c>
      <c r="J194" s="22">
        <f t="shared" si="2"/>
        <v>1029.25</v>
      </c>
      <c r="K194" s="9">
        <f t="array" ref="K194">QUARTILE(IF($F$3:$F$1460=$F194,$H$3:$H$1460),1)</f>
        <v>393.94499999999999</v>
      </c>
      <c r="L194" s="9">
        <f t="array" ref="L194">QUARTILE(IF($F$3:$F$1460=$F194,$H$3:$H$1460),2)</f>
        <v>710.01499999999999</v>
      </c>
      <c r="M194" s="9">
        <f t="array" ref="M194">QUARTILE(IF($F$3:$F$1460=$F194,$H$3:$H$1460),3)</f>
        <v>2552.0574999999999</v>
      </c>
    </row>
    <row r="195" spans="1:13" x14ac:dyDescent="0.25">
      <c r="A195" s="7">
        <v>193</v>
      </c>
      <c r="B195" s="6" t="s">
        <v>130</v>
      </c>
      <c r="C195" s="7">
        <v>4185749</v>
      </c>
      <c r="D195" s="23" t="s">
        <v>131</v>
      </c>
      <c r="E195" s="6" t="s">
        <v>132</v>
      </c>
      <c r="F195" s="21" t="s">
        <v>54</v>
      </c>
      <c r="G195" s="45" t="s">
        <v>271</v>
      </c>
      <c r="H195" s="22">
        <v>723.53</v>
      </c>
      <c r="I195" s="9">
        <v>3</v>
      </c>
      <c r="J195" s="22">
        <f t="shared" si="2"/>
        <v>2170.59</v>
      </c>
      <c r="K195" s="9">
        <f t="array" ref="K195">QUARTILE(IF($F$3:$F$1460=$F195,$H$3:$H$1460),1)</f>
        <v>393.94499999999999</v>
      </c>
      <c r="L195" s="9">
        <f t="array" ref="L195">QUARTILE(IF($F$3:$F$1460=$F195,$H$3:$H$1460),2)</f>
        <v>710.01499999999999</v>
      </c>
      <c r="M195" s="9">
        <f t="array" ref="M195">QUARTILE(IF($F$3:$F$1460=$F195,$H$3:$H$1460),3)</f>
        <v>2552.0574999999999</v>
      </c>
    </row>
    <row r="196" spans="1:13" x14ac:dyDescent="0.25">
      <c r="A196" s="7">
        <v>194</v>
      </c>
      <c r="B196" s="6" t="s">
        <v>130</v>
      </c>
      <c r="C196" s="7">
        <v>4185749</v>
      </c>
      <c r="D196" s="23" t="s">
        <v>131</v>
      </c>
      <c r="E196" s="6" t="s">
        <v>132</v>
      </c>
      <c r="F196" s="21" t="s">
        <v>54</v>
      </c>
      <c r="G196" s="45" t="s">
        <v>272</v>
      </c>
      <c r="H196" s="22">
        <v>370.01</v>
      </c>
      <c r="I196" s="9">
        <v>6</v>
      </c>
      <c r="J196" s="22">
        <f t="shared" si="2"/>
        <v>2220.06</v>
      </c>
      <c r="K196" s="9">
        <f t="array" ref="K196">QUARTILE(IF($F$3:$F$1460=$F196,$H$3:$H$1460),1)</f>
        <v>393.94499999999999</v>
      </c>
      <c r="L196" s="9">
        <f t="array" ref="L196">QUARTILE(IF($F$3:$F$1460=$F196,$H$3:$H$1460),2)</f>
        <v>710.01499999999999</v>
      </c>
      <c r="M196" s="9">
        <f t="array" ref="M196">QUARTILE(IF($F$3:$F$1460=$F196,$H$3:$H$1460),3)</f>
        <v>2552.0574999999999</v>
      </c>
    </row>
    <row r="197" spans="1:13" x14ac:dyDescent="0.25">
      <c r="A197" s="7">
        <v>195</v>
      </c>
      <c r="B197" s="6" t="s">
        <v>130</v>
      </c>
      <c r="C197" s="7">
        <v>4185749</v>
      </c>
      <c r="D197" s="23" t="s">
        <v>131</v>
      </c>
      <c r="E197" s="6" t="s">
        <v>132</v>
      </c>
      <c r="F197" s="21" t="s">
        <v>54</v>
      </c>
      <c r="G197" s="45" t="s">
        <v>273</v>
      </c>
      <c r="H197" s="22">
        <v>518.91999999999996</v>
      </c>
      <c r="I197" s="9">
        <v>4</v>
      </c>
      <c r="J197" s="22">
        <f t="shared" si="2"/>
        <v>2075.6799999999998</v>
      </c>
      <c r="K197" s="9">
        <f t="array" ref="K197">QUARTILE(IF($F$3:$F$1460=$F197,$H$3:$H$1460),1)</f>
        <v>393.94499999999999</v>
      </c>
      <c r="L197" s="9">
        <f t="array" ref="L197">QUARTILE(IF($F$3:$F$1460=$F197,$H$3:$H$1460),2)</f>
        <v>710.01499999999999</v>
      </c>
      <c r="M197" s="9">
        <f t="array" ref="M197">QUARTILE(IF($F$3:$F$1460=$F197,$H$3:$H$1460),3)</f>
        <v>2552.0574999999999</v>
      </c>
    </row>
    <row r="198" spans="1:13" x14ac:dyDescent="0.25">
      <c r="A198" s="7">
        <v>196</v>
      </c>
      <c r="B198" s="6" t="s">
        <v>130</v>
      </c>
      <c r="C198" s="7">
        <v>4185749</v>
      </c>
      <c r="D198" s="23" t="s">
        <v>131</v>
      </c>
      <c r="E198" s="6" t="s">
        <v>132</v>
      </c>
      <c r="F198" s="21" t="s">
        <v>54</v>
      </c>
      <c r="G198" s="45" t="s">
        <v>274</v>
      </c>
      <c r="H198" s="22">
        <v>2529.41</v>
      </c>
      <c r="I198" s="9">
        <v>2</v>
      </c>
      <c r="J198" s="22">
        <f t="shared" si="2"/>
        <v>5058.82</v>
      </c>
      <c r="K198" s="9">
        <f t="array" ref="K198">QUARTILE(IF($F$3:$F$1460=$F198,$H$3:$H$1460),1)</f>
        <v>393.94499999999999</v>
      </c>
      <c r="L198" s="9">
        <f t="array" ref="L198">QUARTILE(IF($F$3:$F$1460=$F198,$H$3:$H$1460),2)</f>
        <v>710.01499999999999</v>
      </c>
      <c r="M198" s="9">
        <f t="array" ref="M198">QUARTILE(IF($F$3:$F$1460=$F198,$H$3:$H$1460),3)</f>
        <v>2552.0574999999999</v>
      </c>
    </row>
    <row r="199" spans="1:13" x14ac:dyDescent="0.25">
      <c r="A199" s="7">
        <v>197</v>
      </c>
      <c r="B199" s="6" t="s">
        <v>130</v>
      </c>
      <c r="C199" s="7">
        <v>4185749</v>
      </c>
      <c r="D199" s="23" t="s">
        <v>131</v>
      </c>
      <c r="E199" s="6" t="s">
        <v>132</v>
      </c>
      <c r="F199" s="21" t="s">
        <v>41</v>
      </c>
      <c r="G199" s="45" t="s">
        <v>180</v>
      </c>
      <c r="H199" s="22">
        <v>68.209999999999994</v>
      </c>
      <c r="I199" s="9">
        <v>5</v>
      </c>
      <c r="J199" s="22">
        <f t="shared" si="2"/>
        <v>341.04999999999995</v>
      </c>
      <c r="K199" s="9">
        <f t="array" ref="K199">QUARTILE(IF($F$3:$F$1460=$F199,$H$3:$H$1460),1)</f>
        <v>112.19999999999999</v>
      </c>
      <c r="L199" s="9">
        <f t="array" ref="L199">QUARTILE(IF($F$3:$F$1460=$F199,$H$3:$H$1460),2)</f>
        <v>252</v>
      </c>
      <c r="M199" s="9">
        <f t="array" ref="M199">QUARTILE(IF($F$3:$F$1460=$F199,$H$3:$H$1460),3)</f>
        <v>2310</v>
      </c>
    </row>
    <row r="200" spans="1:13" x14ac:dyDescent="0.25">
      <c r="A200" s="7">
        <v>198</v>
      </c>
      <c r="B200" s="6" t="s">
        <v>130</v>
      </c>
      <c r="C200" s="7">
        <v>4185749</v>
      </c>
      <c r="D200" s="23" t="s">
        <v>131</v>
      </c>
      <c r="E200" s="6" t="s">
        <v>132</v>
      </c>
      <c r="F200" s="21" t="s">
        <v>41</v>
      </c>
      <c r="G200" s="45" t="s">
        <v>181</v>
      </c>
      <c r="H200" s="22">
        <v>138.19999999999999</v>
      </c>
      <c r="I200" s="9">
        <v>5</v>
      </c>
      <c r="J200" s="22">
        <f t="shared" si="2"/>
        <v>691</v>
      </c>
      <c r="K200" s="9">
        <f t="array" ref="K200">QUARTILE(IF($F$3:$F$1460=$F200,$H$3:$H$1460),1)</f>
        <v>112.19999999999999</v>
      </c>
      <c r="L200" s="9">
        <f t="array" ref="L200">QUARTILE(IF($F$3:$F$1460=$F200,$H$3:$H$1460),2)</f>
        <v>252</v>
      </c>
      <c r="M200" s="9">
        <f t="array" ref="M200">QUARTILE(IF($F$3:$F$1460=$F200,$H$3:$H$1460),3)</f>
        <v>2310</v>
      </c>
    </row>
    <row r="201" spans="1:13" x14ac:dyDescent="0.25">
      <c r="A201" s="7">
        <v>199</v>
      </c>
      <c r="B201" s="6" t="s">
        <v>130</v>
      </c>
      <c r="C201" s="7">
        <v>4185749</v>
      </c>
      <c r="D201" s="23" t="s">
        <v>131</v>
      </c>
      <c r="E201" s="6" t="s">
        <v>132</v>
      </c>
      <c r="F201" s="21" t="s">
        <v>65</v>
      </c>
      <c r="G201" s="45" t="s">
        <v>182</v>
      </c>
      <c r="H201" s="22">
        <v>1412.96</v>
      </c>
      <c r="I201" s="9">
        <v>2</v>
      </c>
      <c r="J201" s="22">
        <f t="shared" si="2"/>
        <v>2825.92</v>
      </c>
      <c r="K201" s="9">
        <f t="array" ref="K201">QUARTILE(IF($F$3:$F$1460=$F201,$H$3:$H$1460),1)</f>
        <v>1383.98</v>
      </c>
      <c r="L201" s="9">
        <f t="array" ref="L201">QUARTILE(IF($F$3:$F$1460=$F201,$H$3:$H$1460),2)</f>
        <v>1866.7</v>
      </c>
      <c r="M201" s="9">
        <f t="array" ref="M201">QUARTILE(IF($F$3:$F$1460=$F201,$H$3:$H$1460),3)</f>
        <v>4574.5833333333339</v>
      </c>
    </row>
    <row r="202" spans="1:13" x14ac:dyDescent="0.25">
      <c r="A202" s="7">
        <v>200</v>
      </c>
      <c r="B202" s="6" t="s">
        <v>130</v>
      </c>
      <c r="C202" s="7">
        <v>4185749</v>
      </c>
      <c r="D202" s="23" t="s">
        <v>131</v>
      </c>
      <c r="E202" s="6" t="s">
        <v>132</v>
      </c>
      <c r="F202" s="21" t="s">
        <v>65</v>
      </c>
      <c r="G202" s="45" t="s">
        <v>183</v>
      </c>
      <c r="H202" s="22">
        <v>1926.27</v>
      </c>
      <c r="I202" s="9">
        <v>1</v>
      </c>
      <c r="J202" s="22">
        <f t="shared" si="2"/>
        <v>1926.27</v>
      </c>
      <c r="K202" s="9">
        <f t="array" ref="K202">QUARTILE(IF($F$3:$F$1460=$F202,$H$3:$H$1460),1)</f>
        <v>1383.98</v>
      </c>
      <c r="L202" s="9">
        <f t="array" ref="L202">QUARTILE(IF($F$3:$F$1460=$F202,$H$3:$H$1460),2)</f>
        <v>1866.7</v>
      </c>
      <c r="M202" s="9">
        <f t="array" ref="M202">QUARTILE(IF($F$3:$F$1460=$F202,$H$3:$H$1460),3)</f>
        <v>4574.5833333333339</v>
      </c>
    </row>
    <row r="203" spans="1:13" x14ac:dyDescent="0.25">
      <c r="A203" s="7">
        <v>201</v>
      </c>
      <c r="B203" s="6" t="s">
        <v>130</v>
      </c>
      <c r="C203" s="7">
        <v>4185749</v>
      </c>
      <c r="D203" s="23" t="s">
        <v>131</v>
      </c>
      <c r="E203" s="6" t="s">
        <v>132</v>
      </c>
      <c r="F203" s="21" t="s">
        <v>61</v>
      </c>
      <c r="G203" s="45" t="s">
        <v>275</v>
      </c>
      <c r="H203" s="22">
        <v>670.59</v>
      </c>
      <c r="I203" s="9">
        <v>10</v>
      </c>
      <c r="J203" s="22">
        <f t="shared" si="2"/>
        <v>6705.9000000000005</v>
      </c>
      <c r="K203" s="9">
        <f t="array" ref="K203">QUARTILE(IF($F$3:$F$1460=$F203,$H$3:$H$1460),1)</f>
        <v>709.95</v>
      </c>
      <c r="L203" s="9">
        <f t="array" ref="L203">QUARTILE(IF($F$3:$F$1460=$F203,$H$3:$H$1460),2)</f>
        <v>1000</v>
      </c>
      <c r="M203" s="9">
        <f t="array" ref="M203">QUARTILE(IF($F$3:$F$1460=$F203,$H$3:$H$1460),3)</f>
        <v>5171.4583333333339</v>
      </c>
    </row>
    <row r="204" spans="1:13" ht="15.75" customHeight="1" x14ac:dyDescent="0.25">
      <c r="A204" s="7">
        <v>202</v>
      </c>
      <c r="B204" s="6" t="s">
        <v>130</v>
      </c>
      <c r="C204" s="7">
        <v>4185749</v>
      </c>
      <c r="D204" s="23" t="s">
        <v>131</v>
      </c>
      <c r="E204" s="6" t="s">
        <v>132</v>
      </c>
      <c r="F204" s="21" t="s">
        <v>61</v>
      </c>
      <c r="G204" s="45" t="s">
        <v>185</v>
      </c>
      <c r="H204" s="22">
        <v>829.41</v>
      </c>
      <c r="I204" s="9">
        <v>2</v>
      </c>
      <c r="J204" s="22">
        <f t="shared" si="2"/>
        <v>1658.82</v>
      </c>
      <c r="K204" s="9">
        <f t="array" ref="K204">QUARTILE(IF($F$3:$F$1460=$F204,$H$3:$H$1460),1)</f>
        <v>709.95</v>
      </c>
      <c r="L204" s="9">
        <f t="array" ref="L204">QUARTILE(IF($F$3:$F$1460=$F204,$H$3:$H$1460),2)</f>
        <v>1000</v>
      </c>
      <c r="M204" s="9">
        <f t="array" ref="M204">QUARTILE(IF($F$3:$F$1460=$F204,$H$3:$H$1460),3)</f>
        <v>5171.4583333333339</v>
      </c>
    </row>
    <row r="205" spans="1:13" ht="15.75" customHeight="1" x14ac:dyDescent="0.25">
      <c r="A205" s="7">
        <v>203</v>
      </c>
      <c r="B205" s="6" t="s">
        <v>130</v>
      </c>
      <c r="C205" s="7">
        <v>4185749</v>
      </c>
      <c r="D205" s="23" t="s">
        <v>131</v>
      </c>
      <c r="E205" s="6" t="s">
        <v>132</v>
      </c>
      <c r="F205" s="21" t="s">
        <v>61</v>
      </c>
      <c r="G205" s="45" t="s">
        <v>186</v>
      </c>
      <c r="H205" s="22">
        <v>2205.88</v>
      </c>
      <c r="I205" s="9">
        <v>2</v>
      </c>
      <c r="J205" s="22">
        <f t="shared" si="2"/>
        <v>4411.76</v>
      </c>
      <c r="K205" s="9">
        <f t="array" ref="K205">QUARTILE(IF($F$3:$F$1460=$F205,$H$3:$H$1460),1)</f>
        <v>709.95</v>
      </c>
      <c r="L205" s="9">
        <f t="array" ref="L205">QUARTILE(IF($F$3:$F$1460=$F205,$H$3:$H$1460),2)</f>
        <v>1000</v>
      </c>
      <c r="M205" s="9">
        <f t="array" ref="M205">QUARTILE(IF($F$3:$F$1460=$F205,$H$3:$H$1460),3)</f>
        <v>5171.4583333333339</v>
      </c>
    </row>
    <row r="206" spans="1:13" x14ac:dyDescent="0.25">
      <c r="A206" s="7">
        <v>204</v>
      </c>
      <c r="B206" s="6" t="s">
        <v>130</v>
      </c>
      <c r="C206" s="7">
        <v>4185749</v>
      </c>
      <c r="D206" s="23" t="s">
        <v>131</v>
      </c>
      <c r="E206" s="6" t="s">
        <v>132</v>
      </c>
      <c r="F206" s="21" t="s">
        <v>61</v>
      </c>
      <c r="G206" s="45" t="s">
        <v>187</v>
      </c>
      <c r="H206" s="22">
        <v>1552.94</v>
      </c>
      <c r="I206" s="9">
        <v>2</v>
      </c>
      <c r="J206" s="22">
        <f t="shared" si="2"/>
        <v>3105.88</v>
      </c>
      <c r="K206" s="9">
        <f t="array" ref="K206">QUARTILE(IF($F$3:$F$1460=$F206,$H$3:$H$1460),1)</f>
        <v>709.95</v>
      </c>
      <c r="L206" s="9">
        <f t="array" ref="L206">QUARTILE(IF($F$3:$F$1460=$F206,$H$3:$H$1460),2)</f>
        <v>1000</v>
      </c>
      <c r="M206" s="9">
        <f t="array" ref="M206">QUARTILE(IF($F$3:$F$1460=$F206,$H$3:$H$1460),3)</f>
        <v>5171.4583333333339</v>
      </c>
    </row>
    <row r="207" spans="1:13" x14ac:dyDescent="0.25">
      <c r="A207" s="7">
        <v>205</v>
      </c>
      <c r="B207" s="6" t="s">
        <v>130</v>
      </c>
      <c r="C207" s="7">
        <v>4185749</v>
      </c>
      <c r="D207" s="23" t="s">
        <v>131</v>
      </c>
      <c r="E207" s="6" t="s">
        <v>132</v>
      </c>
      <c r="F207" s="21" t="s">
        <v>61</v>
      </c>
      <c r="G207" s="45" t="s">
        <v>188</v>
      </c>
      <c r="H207" s="22">
        <v>9176.4699999999993</v>
      </c>
      <c r="I207" s="9">
        <v>2</v>
      </c>
      <c r="J207" s="22">
        <f t="shared" si="2"/>
        <v>18352.939999999999</v>
      </c>
      <c r="K207" s="9">
        <f t="array" ref="K207">QUARTILE(IF($F$3:$F$1460=$F207,$H$3:$H$1460),1)</f>
        <v>709.95</v>
      </c>
      <c r="L207" s="9">
        <f t="array" ref="L207">QUARTILE(IF($F$3:$F$1460=$F207,$H$3:$H$1460),2)</f>
        <v>1000</v>
      </c>
      <c r="M207" s="9">
        <f t="array" ref="M207">QUARTILE(IF($F$3:$F$1460=$F207,$H$3:$H$1460),3)</f>
        <v>5171.4583333333339</v>
      </c>
    </row>
    <row r="208" spans="1:13" x14ac:dyDescent="0.25">
      <c r="A208" s="7">
        <v>206</v>
      </c>
      <c r="B208" s="6" t="s">
        <v>130</v>
      </c>
      <c r="C208" s="7">
        <v>4185749</v>
      </c>
      <c r="D208" s="23" t="s">
        <v>131</v>
      </c>
      <c r="E208" s="6" t="s">
        <v>132</v>
      </c>
      <c r="F208" s="21" t="s">
        <v>61</v>
      </c>
      <c r="G208" s="45" t="s">
        <v>189</v>
      </c>
      <c r="H208" s="22">
        <v>21428.57</v>
      </c>
      <c r="I208" s="9">
        <v>1</v>
      </c>
      <c r="J208" s="22">
        <f t="shared" si="2"/>
        <v>21428.57</v>
      </c>
      <c r="K208" s="9">
        <f t="array" ref="K208">QUARTILE(IF($F$3:$F$1460=$F208,$H$3:$H$1460),1)</f>
        <v>709.95</v>
      </c>
      <c r="L208" s="9">
        <f t="array" ref="L208">QUARTILE(IF($F$3:$F$1460=$F208,$H$3:$H$1460),2)</f>
        <v>1000</v>
      </c>
      <c r="M208" s="9">
        <f t="array" ref="M208">QUARTILE(IF($F$3:$F$1460=$F208,$H$3:$H$1460),3)</f>
        <v>5171.4583333333339</v>
      </c>
    </row>
    <row r="209" spans="1:14" s="27" customFormat="1" x14ac:dyDescent="0.25">
      <c r="A209" s="7">
        <v>207</v>
      </c>
      <c r="B209" s="8" t="s">
        <v>130</v>
      </c>
      <c r="C209" s="24">
        <v>4185749</v>
      </c>
      <c r="D209" s="20" t="s">
        <v>131</v>
      </c>
      <c r="E209" s="8" t="s">
        <v>132</v>
      </c>
      <c r="F209" s="26" t="s">
        <v>31</v>
      </c>
      <c r="G209" s="8" t="s">
        <v>276</v>
      </c>
      <c r="H209" s="28">
        <v>59.81</v>
      </c>
      <c r="I209" s="25">
        <v>20</v>
      </c>
      <c r="J209" s="28">
        <f t="shared" si="2"/>
        <v>1196.2</v>
      </c>
      <c r="K209" s="9">
        <f t="array" ref="K209">QUARTILE(IF($F$3:$F$1460=$F209,$H$3:$H$1460),1)</f>
        <v>55.5</v>
      </c>
      <c r="L209" s="9">
        <f t="array" ref="L209">QUARTILE(IF($F$3:$F$1460=$F209,$H$3:$H$1460),2)</f>
        <v>91.88</v>
      </c>
      <c r="M209" s="9">
        <f t="array" ref="M209">QUARTILE(IF($F$3:$F$1460=$F209,$H$3:$H$1460),3)</f>
        <v>148.36000000000001</v>
      </c>
      <c r="N209" s="5"/>
    </row>
    <row r="210" spans="1:14" x14ac:dyDescent="0.25">
      <c r="A210" s="7">
        <v>208</v>
      </c>
      <c r="B210" s="6" t="s">
        <v>130</v>
      </c>
      <c r="C210" s="7">
        <v>4185749</v>
      </c>
      <c r="D210" s="23" t="s">
        <v>131</v>
      </c>
      <c r="E210" s="6" t="s">
        <v>132</v>
      </c>
      <c r="F210" s="21" t="s">
        <v>31</v>
      </c>
      <c r="G210" s="8" t="s">
        <v>277</v>
      </c>
      <c r="H210" s="22">
        <v>83.31</v>
      </c>
      <c r="I210" s="9">
        <v>20</v>
      </c>
      <c r="J210" s="22">
        <f t="shared" si="2"/>
        <v>1666.2</v>
      </c>
      <c r="K210" s="9">
        <f t="array" ref="K210">QUARTILE(IF($F$3:$F$1460=$F210,$H$3:$H$1460),1)</f>
        <v>55.5</v>
      </c>
      <c r="L210" s="9">
        <f t="array" ref="L210">QUARTILE(IF($F$3:$F$1460=$F210,$H$3:$H$1460),2)</f>
        <v>91.88</v>
      </c>
      <c r="M210" s="9">
        <f t="array" ref="M210">QUARTILE(IF($F$3:$F$1460=$F210,$H$3:$H$1460),3)</f>
        <v>148.36000000000001</v>
      </c>
    </row>
    <row r="211" spans="1:14" x14ac:dyDescent="0.25">
      <c r="A211" s="7">
        <v>209</v>
      </c>
      <c r="B211" s="6" t="s">
        <v>130</v>
      </c>
      <c r="C211" s="7">
        <v>4185749</v>
      </c>
      <c r="D211" s="23" t="s">
        <v>131</v>
      </c>
      <c r="E211" s="6" t="s">
        <v>132</v>
      </c>
      <c r="F211" s="21" t="s">
        <v>31</v>
      </c>
      <c r="G211" s="8" t="s">
        <v>278</v>
      </c>
      <c r="H211" s="22">
        <v>108.94</v>
      </c>
      <c r="I211" s="9">
        <v>20</v>
      </c>
      <c r="J211" s="22">
        <f t="shared" si="2"/>
        <v>2178.8000000000002</v>
      </c>
      <c r="K211" s="9">
        <f t="array" ref="K211">QUARTILE(IF($F$3:$F$1460=$F211,$H$3:$H$1460),1)</f>
        <v>55.5</v>
      </c>
      <c r="L211" s="9">
        <f t="array" ref="L211">QUARTILE(IF($F$3:$F$1460=$F211,$H$3:$H$1460),2)</f>
        <v>91.88</v>
      </c>
      <c r="M211" s="9">
        <f t="array" ref="M211">QUARTILE(IF($F$3:$F$1460=$F211,$H$3:$H$1460),3)</f>
        <v>148.36000000000001</v>
      </c>
    </row>
    <row r="212" spans="1:14" x14ac:dyDescent="0.25">
      <c r="A212" s="7">
        <v>210</v>
      </c>
      <c r="B212" s="6" t="s">
        <v>130</v>
      </c>
      <c r="C212" s="7">
        <v>4185749</v>
      </c>
      <c r="D212" s="23" t="s">
        <v>131</v>
      </c>
      <c r="E212" s="6" t="s">
        <v>132</v>
      </c>
      <c r="F212" s="21" t="s">
        <v>31</v>
      </c>
      <c r="G212" s="6" t="s">
        <v>279</v>
      </c>
      <c r="H212" s="22">
        <v>84.68</v>
      </c>
      <c r="I212" s="9">
        <v>10</v>
      </c>
      <c r="J212" s="22">
        <f t="shared" si="2"/>
        <v>846.80000000000007</v>
      </c>
      <c r="K212" s="9">
        <f t="array" ref="K212">QUARTILE(IF($F$3:$F$1460=$F212,$H$3:$H$1460),1)</f>
        <v>55.5</v>
      </c>
      <c r="L212" s="9">
        <f t="array" ref="L212">QUARTILE(IF($F$3:$F$1460=$F212,$H$3:$H$1460),2)</f>
        <v>91.88</v>
      </c>
      <c r="M212" s="9">
        <f t="array" ref="M212">QUARTILE(IF($F$3:$F$1460=$F212,$H$3:$H$1460),3)</f>
        <v>148.36000000000001</v>
      </c>
    </row>
    <row r="213" spans="1:14" x14ac:dyDescent="0.25">
      <c r="A213" s="7">
        <v>211</v>
      </c>
      <c r="B213" s="6" t="s">
        <v>130</v>
      </c>
      <c r="C213" s="7">
        <v>4185749</v>
      </c>
      <c r="D213" s="23" t="s">
        <v>131</v>
      </c>
      <c r="E213" s="6" t="s">
        <v>132</v>
      </c>
      <c r="F213" s="21" t="s">
        <v>31</v>
      </c>
      <c r="G213" s="6" t="s">
        <v>280</v>
      </c>
      <c r="H213" s="22">
        <v>109.05</v>
      </c>
      <c r="I213" s="9">
        <v>10</v>
      </c>
      <c r="J213" s="22">
        <f t="shared" si="2"/>
        <v>1090.5</v>
      </c>
      <c r="K213" s="9">
        <f t="array" ref="K213">QUARTILE(IF($F$3:$F$1460=$F213,$H$3:$H$1460),1)</f>
        <v>55.5</v>
      </c>
      <c r="L213" s="9">
        <f t="array" ref="L213">QUARTILE(IF($F$3:$F$1460=$F213,$H$3:$H$1460),2)</f>
        <v>91.88</v>
      </c>
      <c r="M213" s="9">
        <f t="array" ref="M213">QUARTILE(IF($F$3:$F$1460=$F213,$H$3:$H$1460),3)</f>
        <v>148.36000000000001</v>
      </c>
    </row>
    <row r="214" spans="1:14" x14ac:dyDescent="0.25">
      <c r="A214" s="7">
        <v>212</v>
      </c>
      <c r="B214" s="6" t="s">
        <v>130</v>
      </c>
      <c r="C214" s="7">
        <v>4185749</v>
      </c>
      <c r="D214" s="23" t="s">
        <v>131</v>
      </c>
      <c r="E214" s="6" t="s">
        <v>132</v>
      </c>
      <c r="F214" s="21" t="s">
        <v>31</v>
      </c>
      <c r="G214" s="6" t="s">
        <v>281</v>
      </c>
      <c r="H214" s="22">
        <v>185.79</v>
      </c>
      <c r="I214" s="9">
        <v>5</v>
      </c>
      <c r="J214" s="22">
        <f t="shared" si="2"/>
        <v>928.94999999999993</v>
      </c>
      <c r="K214" s="9">
        <f t="array" ref="K214">QUARTILE(IF($F$3:$F$1460=$F214,$H$3:$H$1460),1)</f>
        <v>55.5</v>
      </c>
      <c r="L214" s="9">
        <f t="array" ref="L214">QUARTILE(IF($F$3:$F$1460=$F214,$H$3:$H$1460),2)</f>
        <v>91.88</v>
      </c>
      <c r="M214" s="9">
        <f t="array" ref="M214">QUARTILE(IF($F$3:$F$1460=$F214,$H$3:$H$1460),3)</f>
        <v>148.36000000000001</v>
      </c>
    </row>
    <row r="215" spans="1:14" x14ac:dyDescent="0.25">
      <c r="A215" s="7">
        <v>213</v>
      </c>
      <c r="B215" s="6" t="s">
        <v>130</v>
      </c>
      <c r="C215" s="7">
        <v>4185749</v>
      </c>
      <c r="D215" s="23" t="s">
        <v>131</v>
      </c>
      <c r="E215" s="6" t="s">
        <v>132</v>
      </c>
      <c r="F215" s="21" t="s">
        <v>17</v>
      </c>
      <c r="G215" s="6" t="s">
        <v>196</v>
      </c>
      <c r="H215" s="22">
        <v>12.86</v>
      </c>
      <c r="I215" s="9">
        <v>2</v>
      </c>
      <c r="J215" s="22">
        <f t="shared" si="2"/>
        <v>25.72</v>
      </c>
      <c r="K215" s="9">
        <f t="array" ref="K215">QUARTILE(IF($F$3:$F$1460=$F215,$H$3:$H$1460),1)</f>
        <v>17.549999999999997</v>
      </c>
      <c r="L215" s="9">
        <f t="array" ref="L215">QUARTILE(IF($F$3:$F$1460=$F215,$H$3:$H$1460),2)</f>
        <v>275.8</v>
      </c>
      <c r="M215" s="9">
        <f t="array" ref="M215">QUARTILE(IF($F$3:$F$1460=$F215,$H$3:$H$1460),3)</f>
        <v>11191.057499999999</v>
      </c>
    </row>
    <row r="216" spans="1:14" x14ac:dyDescent="0.25">
      <c r="A216" s="7">
        <v>214</v>
      </c>
      <c r="B216" s="6" t="s">
        <v>130</v>
      </c>
      <c r="C216" s="7">
        <v>4185749</v>
      </c>
      <c r="D216" s="23" t="s">
        <v>131</v>
      </c>
      <c r="E216" s="6" t="s">
        <v>132</v>
      </c>
      <c r="F216" s="21" t="s">
        <v>17</v>
      </c>
      <c r="G216" s="6" t="s">
        <v>197</v>
      </c>
      <c r="H216" s="22">
        <v>11.67</v>
      </c>
      <c r="I216" s="9">
        <v>2</v>
      </c>
      <c r="J216" s="22">
        <f t="shared" si="2"/>
        <v>23.34</v>
      </c>
      <c r="K216" s="9">
        <f t="array" ref="K216">QUARTILE(IF($F$3:$F$1460=$F216,$H$3:$H$1460),1)</f>
        <v>17.549999999999997</v>
      </c>
      <c r="L216" s="9">
        <f t="array" ref="L216">QUARTILE(IF($F$3:$F$1460=$F216,$H$3:$H$1460),2)</f>
        <v>275.8</v>
      </c>
      <c r="M216" s="9">
        <f t="array" ref="M216">QUARTILE(IF($F$3:$F$1460=$F216,$H$3:$H$1460),3)</f>
        <v>11191.057499999999</v>
      </c>
    </row>
    <row r="217" spans="1:14" x14ac:dyDescent="0.25">
      <c r="A217" s="7">
        <v>215</v>
      </c>
      <c r="B217" s="6" t="s">
        <v>130</v>
      </c>
      <c r="C217" s="7">
        <v>4185749</v>
      </c>
      <c r="D217" s="23" t="s">
        <v>131</v>
      </c>
      <c r="E217" s="6" t="s">
        <v>132</v>
      </c>
      <c r="F217" s="21" t="s">
        <v>27</v>
      </c>
      <c r="G217" s="6" t="s">
        <v>282</v>
      </c>
      <c r="H217" s="22">
        <v>35.729999999999997</v>
      </c>
      <c r="I217" s="9">
        <v>20</v>
      </c>
      <c r="J217" s="22">
        <f t="shared" si="2"/>
        <v>714.59999999999991</v>
      </c>
      <c r="K217" s="9">
        <f t="array" ref="K217">QUARTILE(IF($F$3:$F$1460=$F217,$H$3:$H$1460),1)</f>
        <v>35.864999999999995</v>
      </c>
      <c r="L217" s="9">
        <f t="array" ref="L217">QUARTILE(IF($F$3:$F$1460=$F217,$H$3:$H$1460),2)</f>
        <v>54.65</v>
      </c>
      <c r="M217" s="9">
        <f t="array" ref="M217">QUARTILE(IF($F$3:$F$1460=$F217,$H$3:$H$1460),3)</f>
        <v>66.5</v>
      </c>
    </row>
    <row r="218" spans="1:14" x14ac:dyDescent="0.25">
      <c r="A218" s="7">
        <v>216</v>
      </c>
      <c r="B218" s="6" t="s">
        <v>130</v>
      </c>
      <c r="C218" s="7">
        <v>4185749</v>
      </c>
      <c r="D218" s="23" t="s">
        <v>131</v>
      </c>
      <c r="E218" s="6" t="s">
        <v>132</v>
      </c>
      <c r="F218" s="21" t="s">
        <v>27</v>
      </c>
      <c r="G218" s="6" t="s">
        <v>283</v>
      </c>
      <c r="H218" s="22">
        <v>71.52</v>
      </c>
      <c r="I218" s="9">
        <v>10</v>
      </c>
      <c r="J218" s="22">
        <f t="shared" si="2"/>
        <v>715.19999999999993</v>
      </c>
      <c r="K218" s="9">
        <f t="array" ref="K218">QUARTILE(IF($F$3:$F$1460=$F218,$H$3:$H$1460),1)</f>
        <v>35.864999999999995</v>
      </c>
      <c r="L218" s="9">
        <f t="array" ref="L218">QUARTILE(IF($F$3:$F$1460=$F218,$H$3:$H$1460),2)</f>
        <v>54.65</v>
      </c>
      <c r="M218" s="9">
        <f t="array" ref="M218">QUARTILE(IF($F$3:$F$1460=$F218,$H$3:$H$1460),3)</f>
        <v>66.5</v>
      </c>
    </row>
    <row r="219" spans="1:14" x14ac:dyDescent="0.25">
      <c r="A219" s="7">
        <v>217</v>
      </c>
      <c r="B219" s="6" t="s">
        <v>130</v>
      </c>
      <c r="C219" s="7">
        <v>4185749</v>
      </c>
      <c r="D219" s="23" t="s">
        <v>131</v>
      </c>
      <c r="E219" s="6" t="s">
        <v>132</v>
      </c>
      <c r="F219" s="21" t="s">
        <v>27</v>
      </c>
      <c r="G219" s="6" t="s">
        <v>284</v>
      </c>
      <c r="H219" s="22">
        <v>100.47</v>
      </c>
      <c r="I219" s="9">
        <v>5</v>
      </c>
      <c r="J219" s="22">
        <f t="shared" si="2"/>
        <v>502.35</v>
      </c>
      <c r="K219" s="9">
        <f t="array" ref="K219">QUARTILE(IF($F$3:$F$1460=$F219,$H$3:$H$1460),1)</f>
        <v>35.864999999999995</v>
      </c>
      <c r="L219" s="9">
        <f t="array" ref="L219">QUARTILE(IF($F$3:$F$1460=$F219,$H$3:$H$1460),2)</f>
        <v>54.65</v>
      </c>
      <c r="M219" s="9">
        <f t="array" ref="M219">QUARTILE(IF($F$3:$F$1460=$F219,$H$3:$H$1460),3)</f>
        <v>66.5</v>
      </c>
    </row>
    <row r="220" spans="1:14" x14ac:dyDescent="0.25">
      <c r="A220" s="7">
        <v>100</v>
      </c>
      <c r="B220" s="6" t="s">
        <v>130</v>
      </c>
      <c r="C220" s="7">
        <v>4185749</v>
      </c>
      <c r="D220" s="23" t="s">
        <v>131</v>
      </c>
      <c r="E220" s="6" t="s">
        <v>132</v>
      </c>
      <c r="F220" s="21" t="s">
        <v>31</v>
      </c>
      <c r="G220" s="6" t="s">
        <v>201</v>
      </c>
      <c r="H220" s="22">
        <v>45.59</v>
      </c>
      <c r="I220" s="9">
        <v>5</v>
      </c>
      <c r="J220" s="22">
        <f t="shared" si="2"/>
        <v>227.95000000000002</v>
      </c>
      <c r="K220" s="9">
        <f t="array" ref="K220">QUARTILE(IF($F$3:$F$1460=$F220,$H$3:$H$1460),1)</f>
        <v>55.5</v>
      </c>
      <c r="L220" s="9">
        <f t="array" ref="L220">QUARTILE(IF($F$3:$F$1460=$F220,$H$3:$H$1460),2)</f>
        <v>91.88</v>
      </c>
      <c r="M220" s="9">
        <f t="array" ref="M220">QUARTILE(IF($F$3:$F$1460=$F220,$H$3:$H$1460),3)</f>
        <v>148.36000000000001</v>
      </c>
    </row>
    <row r="221" spans="1:14" x14ac:dyDescent="0.25">
      <c r="A221" s="7">
        <v>101</v>
      </c>
      <c r="B221" s="6" t="s">
        <v>130</v>
      </c>
      <c r="C221" s="7">
        <v>4185749</v>
      </c>
      <c r="D221" s="23" t="s">
        <v>131</v>
      </c>
      <c r="E221" s="6" t="s">
        <v>132</v>
      </c>
      <c r="F221" s="21" t="s">
        <v>31</v>
      </c>
      <c r="G221" s="6" t="s">
        <v>202</v>
      </c>
      <c r="H221" s="22">
        <v>63.02</v>
      </c>
      <c r="I221" s="9">
        <v>5</v>
      </c>
      <c r="J221" s="22">
        <f t="shared" si="2"/>
        <v>315.10000000000002</v>
      </c>
      <c r="K221" s="9">
        <f t="array" ref="K221">QUARTILE(IF($F$3:$F$1460=$F221,$H$3:$H$1460),1)</f>
        <v>55.5</v>
      </c>
      <c r="L221" s="9">
        <f t="array" ref="L221">QUARTILE(IF($F$3:$F$1460=$F221,$H$3:$H$1460),2)</f>
        <v>91.88</v>
      </c>
      <c r="M221" s="9">
        <f t="array" ref="M221">QUARTILE(IF($F$3:$F$1460=$F221,$H$3:$H$1460),3)</f>
        <v>148.36000000000001</v>
      </c>
    </row>
    <row r="222" spans="1:14" x14ac:dyDescent="0.25">
      <c r="A222" s="7">
        <v>218</v>
      </c>
      <c r="B222" s="6" t="s">
        <v>130</v>
      </c>
      <c r="C222" s="7">
        <v>4185749</v>
      </c>
      <c r="D222" s="23" t="s">
        <v>131</v>
      </c>
      <c r="E222" s="6" t="s">
        <v>132</v>
      </c>
      <c r="F222" s="21" t="s">
        <v>31</v>
      </c>
      <c r="G222" s="6" t="s">
        <v>203</v>
      </c>
      <c r="H222" s="22">
        <v>91.88</v>
      </c>
      <c r="I222" s="9">
        <v>5</v>
      </c>
      <c r="J222" s="22">
        <f t="shared" si="2"/>
        <v>459.4</v>
      </c>
      <c r="K222" s="9">
        <f t="array" ref="K222">QUARTILE(IF($F$3:$F$1460=$F222,$H$3:$H$1460),1)</f>
        <v>55.5</v>
      </c>
      <c r="L222" s="9">
        <f t="array" ref="L222">QUARTILE(IF($F$3:$F$1460=$F222,$H$3:$H$1460),2)</f>
        <v>91.88</v>
      </c>
      <c r="M222" s="9">
        <f t="array" ref="M222">QUARTILE(IF($F$3:$F$1460=$F222,$H$3:$H$1460),3)</f>
        <v>148.36000000000001</v>
      </c>
    </row>
    <row r="223" spans="1:14" x14ac:dyDescent="0.25">
      <c r="A223" s="7">
        <v>219</v>
      </c>
      <c r="B223" s="6" t="s">
        <v>130</v>
      </c>
      <c r="C223" s="7">
        <v>4185749</v>
      </c>
      <c r="D223" s="23" t="s">
        <v>131</v>
      </c>
      <c r="E223" s="6" t="s">
        <v>132</v>
      </c>
      <c r="F223" s="21" t="s">
        <v>31</v>
      </c>
      <c r="G223" s="6" t="s">
        <v>204</v>
      </c>
      <c r="H223" s="22">
        <v>106.05</v>
      </c>
      <c r="I223" s="9">
        <v>5</v>
      </c>
      <c r="J223" s="22">
        <f t="shared" si="2"/>
        <v>530.25</v>
      </c>
      <c r="K223" s="9">
        <f t="array" ref="K223">QUARTILE(IF($F$3:$F$1460=$F223,$H$3:$H$1460),1)</f>
        <v>55.5</v>
      </c>
      <c r="L223" s="9">
        <f t="array" ref="L223">QUARTILE(IF($F$3:$F$1460=$F223,$H$3:$H$1460),2)</f>
        <v>91.88</v>
      </c>
      <c r="M223" s="9">
        <f t="array" ref="M223">QUARTILE(IF($F$3:$F$1460=$F223,$H$3:$H$1460),3)</f>
        <v>148.36000000000001</v>
      </c>
    </row>
    <row r="224" spans="1:14" x14ac:dyDescent="0.25">
      <c r="A224" s="7">
        <v>220</v>
      </c>
      <c r="B224" s="6" t="s">
        <v>130</v>
      </c>
      <c r="C224" s="7">
        <v>4185749</v>
      </c>
      <c r="D224" s="23" t="s">
        <v>131</v>
      </c>
      <c r="E224" s="6" t="s">
        <v>132</v>
      </c>
      <c r="F224" s="21" t="s">
        <v>31</v>
      </c>
      <c r="G224" s="6" t="s">
        <v>205</v>
      </c>
      <c r="H224" s="22">
        <v>58.05</v>
      </c>
      <c r="I224" s="9">
        <v>20</v>
      </c>
      <c r="J224" s="22">
        <f t="shared" si="2"/>
        <v>1161</v>
      </c>
      <c r="K224" s="9">
        <f t="array" ref="K224">QUARTILE(IF($F$3:$F$1460=$F224,$H$3:$H$1460),1)</f>
        <v>55.5</v>
      </c>
      <c r="L224" s="9">
        <f t="array" ref="L224">QUARTILE(IF($F$3:$F$1460=$F224,$H$3:$H$1460),2)</f>
        <v>91.88</v>
      </c>
      <c r="M224" s="9">
        <f t="array" ref="M224">QUARTILE(IF($F$3:$F$1460=$F224,$H$3:$H$1460),3)</f>
        <v>148.36000000000001</v>
      </c>
    </row>
    <row r="225" spans="1:14" x14ac:dyDescent="0.25">
      <c r="A225" s="7">
        <v>221</v>
      </c>
      <c r="B225" s="6" t="s">
        <v>130</v>
      </c>
      <c r="C225" s="7">
        <v>4185749</v>
      </c>
      <c r="D225" s="23" t="s">
        <v>131</v>
      </c>
      <c r="E225" s="6" t="s">
        <v>132</v>
      </c>
      <c r="F225" s="21" t="s">
        <v>31</v>
      </c>
      <c r="G225" s="6" t="s">
        <v>206</v>
      </c>
      <c r="H225" s="22">
        <v>101.84</v>
      </c>
      <c r="I225" s="9">
        <v>10</v>
      </c>
      <c r="J225" s="22">
        <f t="shared" si="2"/>
        <v>1018.4000000000001</v>
      </c>
      <c r="K225" s="9">
        <f t="array" ref="K225">QUARTILE(IF($F$3:$F$1460=$F225,$H$3:$H$1460),1)</f>
        <v>55.5</v>
      </c>
      <c r="L225" s="9">
        <f t="array" ref="L225">QUARTILE(IF($F$3:$F$1460=$F225,$H$3:$H$1460),2)</f>
        <v>91.88</v>
      </c>
      <c r="M225" s="9">
        <f t="array" ref="M225">QUARTILE(IF($F$3:$F$1460=$F225,$H$3:$H$1460),3)</f>
        <v>148.36000000000001</v>
      </c>
    </row>
    <row r="226" spans="1:14" x14ac:dyDescent="0.25">
      <c r="A226" s="7">
        <v>222</v>
      </c>
      <c r="B226" s="6" t="s">
        <v>130</v>
      </c>
      <c r="C226" s="7">
        <v>4185749</v>
      </c>
      <c r="D226" s="23" t="s">
        <v>131</v>
      </c>
      <c r="E226" s="6" t="s">
        <v>132</v>
      </c>
      <c r="F226" s="21" t="s">
        <v>31</v>
      </c>
      <c r="G226" s="6" t="s">
        <v>207</v>
      </c>
      <c r="H226" s="22">
        <v>150.53</v>
      </c>
      <c r="I226" s="9">
        <v>5</v>
      </c>
      <c r="J226" s="22">
        <f t="shared" si="2"/>
        <v>752.65</v>
      </c>
      <c r="K226" s="9">
        <f t="array" ref="K226">QUARTILE(IF($F$3:$F$1460=$F226,$H$3:$H$1460),1)</f>
        <v>55.5</v>
      </c>
      <c r="L226" s="9">
        <f t="array" ref="L226">QUARTILE(IF($F$3:$F$1460=$F226,$H$3:$H$1460),2)</f>
        <v>91.88</v>
      </c>
      <c r="M226" s="9">
        <f t="array" ref="M226">QUARTILE(IF($F$3:$F$1460=$F226,$H$3:$H$1460),3)</f>
        <v>148.36000000000001</v>
      </c>
    </row>
    <row r="227" spans="1:14" x14ac:dyDescent="0.25">
      <c r="A227" s="7">
        <v>223</v>
      </c>
      <c r="B227" s="6" t="s">
        <v>130</v>
      </c>
      <c r="C227" s="7">
        <v>4185749</v>
      </c>
      <c r="D227" s="23" t="s">
        <v>131</v>
      </c>
      <c r="E227" s="6" t="s">
        <v>132</v>
      </c>
      <c r="F227" s="21" t="s">
        <v>31</v>
      </c>
      <c r="G227" s="6" t="s">
        <v>208</v>
      </c>
      <c r="H227" s="22">
        <v>60.56</v>
      </c>
      <c r="I227" s="9">
        <v>5</v>
      </c>
      <c r="J227" s="22">
        <f t="shared" si="2"/>
        <v>302.8</v>
      </c>
      <c r="K227" s="9">
        <f t="array" ref="K227">QUARTILE(IF($F$3:$F$1460=$F227,$H$3:$H$1460),1)</f>
        <v>55.5</v>
      </c>
      <c r="L227" s="9">
        <f t="array" ref="L227">QUARTILE(IF($F$3:$F$1460=$F227,$H$3:$H$1460),2)</f>
        <v>91.88</v>
      </c>
      <c r="M227" s="9">
        <f t="array" ref="M227">QUARTILE(IF($F$3:$F$1460=$F227,$H$3:$H$1460),3)</f>
        <v>148.36000000000001</v>
      </c>
    </row>
    <row r="228" spans="1:14" x14ac:dyDescent="0.25">
      <c r="A228" s="7">
        <v>224</v>
      </c>
      <c r="B228" s="6" t="s">
        <v>130</v>
      </c>
      <c r="C228" s="7">
        <v>4185749</v>
      </c>
      <c r="D228" s="23" t="s">
        <v>131</v>
      </c>
      <c r="E228" s="6" t="s">
        <v>132</v>
      </c>
      <c r="F228" s="21" t="s">
        <v>31</v>
      </c>
      <c r="G228" s="6" t="s">
        <v>209</v>
      </c>
      <c r="H228" s="22">
        <v>104.08</v>
      </c>
      <c r="I228" s="9">
        <v>5</v>
      </c>
      <c r="J228" s="22">
        <f t="shared" si="2"/>
        <v>520.4</v>
      </c>
      <c r="K228" s="9">
        <f t="array" ref="K228">QUARTILE(IF($F$3:$F$1460=$F228,$H$3:$H$1460),1)</f>
        <v>55.5</v>
      </c>
      <c r="L228" s="9">
        <f t="array" ref="L228">QUARTILE(IF($F$3:$F$1460=$F228,$H$3:$H$1460),2)</f>
        <v>91.88</v>
      </c>
      <c r="M228" s="9">
        <f t="array" ref="M228">QUARTILE(IF($F$3:$F$1460=$F228,$H$3:$H$1460),3)</f>
        <v>148.36000000000001</v>
      </c>
    </row>
    <row r="229" spans="1:14" x14ac:dyDescent="0.25">
      <c r="A229" s="7">
        <v>225</v>
      </c>
      <c r="B229" s="6" t="s">
        <v>130</v>
      </c>
      <c r="C229" s="7">
        <v>4185749</v>
      </c>
      <c r="D229" s="23" t="s">
        <v>131</v>
      </c>
      <c r="E229" s="6" t="s">
        <v>132</v>
      </c>
      <c r="F229" s="21" t="s">
        <v>31</v>
      </c>
      <c r="G229" s="6" t="s">
        <v>210</v>
      </c>
      <c r="H229" s="22">
        <v>105.05</v>
      </c>
      <c r="I229" s="9">
        <v>5</v>
      </c>
      <c r="J229" s="22">
        <f t="shared" si="2"/>
        <v>525.25</v>
      </c>
      <c r="K229" s="9">
        <f t="array" ref="K229">QUARTILE(IF($F$3:$F$1460=$F229,$H$3:$H$1460),1)</f>
        <v>55.5</v>
      </c>
      <c r="L229" s="9">
        <f t="array" ref="L229">QUARTILE(IF($F$3:$F$1460=$F229,$H$3:$H$1460),2)</f>
        <v>91.88</v>
      </c>
      <c r="M229" s="9">
        <f t="array" ref="M229">QUARTILE(IF($F$3:$F$1460=$F229,$H$3:$H$1460),3)</f>
        <v>148.36000000000001</v>
      </c>
    </row>
    <row r="230" spans="1:14" x14ac:dyDescent="0.25">
      <c r="A230" s="7">
        <v>226</v>
      </c>
      <c r="B230" s="6" t="s">
        <v>130</v>
      </c>
      <c r="C230" s="7">
        <v>4185749</v>
      </c>
      <c r="D230" s="23" t="s">
        <v>131</v>
      </c>
      <c r="E230" s="6" t="s">
        <v>132</v>
      </c>
      <c r="F230" s="21" t="s">
        <v>20</v>
      </c>
      <c r="G230" s="6" t="s">
        <v>285</v>
      </c>
      <c r="H230" s="22">
        <v>25.62</v>
      </c>
      <c r="I230" s="9">
        <v>20</v>
      </c>
      <c r="J230" s="22">
        <f t="shared" si="2"/>
        <v>512.4</v>
      </c>
      <c r="K230" s="9">
        <f t="array" ref="K230">QUARTILE(IF($F$3:$F$1460=$F230,$H$3:$H$1460),1)</f>
        <v>22.082500000000003</v>
      </c>
      <c r="L230" s="9">
        <f t="array" ref="L230">QUARTILE(IF($F$3:$F$1460=$F230,$H$3:$H$1460),2)</f>
        <v>31.15</v>
      </c>
      <c r="M230" s="9">
        <f t="array" ref="M230">QUARTILE(IF($F$3:$F$1460=$F230,$H$3:$H$1460),3)</f>
        <v>48.125</v>
      </c>
    </row>
    <row r="231" spans="1:14" x14ac:dyDescent="0.25">
      <c r="A231" s="7">
        <v>227</v>
      </c>
      <c r="B231" s="6" t="s">
        <v>130</v>
      </c>
      <c r="C231" s="7">
        <v>4185749</v>
      </c>
      <c r="D231" s="23" t="s">
        <v>131</v>
      </c>
      <c r="E231" s="6" t="s">
        <v>132</v>
      </c>
      <c r="F231" s="21" t="s">
        <v>20</v>
      </c>
      <c r="G231" s="6" t="s">
        <v>286</v>
      </c>
      <c r="H231" s="22">
        <v>17.45</v>
      </c>
      <c r="I231" s="9">
        <v>20</v>
      </c>
      <c r="J231" s="22">
        <f t="shared" si="2"/>
        <v>349</v>
      </c>
      <c r="K231" s="9">
        <f t="array" ref="K231">QUARTILE(IF($F$3:$F$1460=$F231,$H$3:$H$1460),1)</f>
        <v>22.082500000000003</v>
      </c>
      <c r="L231" s="9">
        <f t="array" ref="L231">QUARTILE(IF($F$3:$F$1460=$F231,$H$3:$H$1460),2)</f>
        <v>31.15</v>
      </c>
      <c r="M231" s="9">
        <f t="array" ref="M231">QUARTILE(IF($F$3:$F$1460=$F231,$H$3:$H$1460),3)</f>
        <v>48.125</v>
      </c>
    </row>
    <row r="232" spans="1:14" s="33" customFormat="1" x14ac:dyDescent="0.25">
      <c r="A232" s="29">
        <v>228</v>
      </c>
      <c r="B232" s="30" t="s">
        <v>130</v>
      </c>
      <c r="C232" s="29">
        <v>4185749</v>
      </c>
      <c r="D232" s="20" t="s">
        <v>131</v>
      </c>
      <c r="E232" s="30" t="s">
        <v>132</v>
      </c>
      <c r="F232" s="21" t="s">
        <v>20</v>
      </c>
      <c r="G232" s="30" t="s">
        <v>213</v>
      </c>
      <c r="H232" s="34">
        <v>39.94</v>
      </c>
      <c r="I232" s="31">
        <v>5</v>
      </c>
      <c r="J232" s="34">
        <f t="shared" si="2"/>
        <v>199.7</v>
      </c>
      <c r="K232" s="9">
        <f t="array" ref="K232">QUARTILE(IF($F$3:$F$1460=$F232,$H$3:$H$1460),1)</f>
        <v>22.082500000000003</v>
      </c>
      <c r="L232" s="9">
        <f t="array" ref="L232">QUARTILE(IF($F$3:$F$1460=$F232,$H$3:$H$1460),2)</f>
        <v>31.15</v>
      </c>
      <c r="M232" s="9">
        <f t="array" ref="M232">QUARTILE(IF($F$3:$F$1460=$F232,$H$3:$H$1460),3)</f>
        <v>48.125</v>
      </c>
      <c r="N232" s="5"/>
    </row>
    <row r="233" spans="1:14" x14ac:dyDescent="0.25">
      <c r="A233" s="7">
        <v>229</v>
      </c>
      <c r="B233" s="6" t="s">
        <v>130</v>
      </c>
      <c r="C233" s="7">
        <v>4185749</v>
      </c>
      <c r="D233" s="23" t="s">
        <v>131</v>
      </c>
      <c r="E233" s="6" t="s">
        <v>132</v>
      </c>
      <c r="F233" s="21" t="s">
        <v>20</v>
      </c>
      <c r="G233" s="6" t="s">
        <v>287</v>
      </c>
      <c r="H233" s="22">
        <v>17.61</v>
      </c>
      <c r="I233" s="9">
        <v>5</v>
      </c>
      <c r="J233" s="22">
        <f t="shared" si="2"/>
        <v>88.05</v>
      </c>
      <c r="K233" s="9">
        <f t="array" ref="K233">QUARTILE(IF($F$3:$F$1460=$F233,$H$3:$H$1460),1)</f>
        <v>22.082500000000003</v>
      </c>
      <c r="L233" s="9">
        <f t="array" ref="L233">QUARTILE(IF($F$3:$F$1460=$F233,$H$3:$H$1460),2)</f>
        <v>31.15</v>
      </c>
      <c r="M233" s="9">
        <f t="array" ref="M233">QUARTILE(IF($F$3:$F$1460=$F233,$H$3:$H$1460),3)</f>
        <v>48.125</v>
      </c>
    </row>
    <row r="234" spans="1:14" x14ac:dyDescent="0.25">
      <c r="A234" s="7">
        <v>230</v>
      </c>
      <c r="B234" s="6" t="s">
        <v>130</v>
      </c>
      <c r="C234" s="7">
        <v>4185749</v>
      </c>
      <c r="D234" s="23" t="s">
        <v>131</v>
      </c>
      <c r="E234" s="6" t="s">
        <v>132</v>
      </c>
      <c r="F234" s="21" t="s">
        <v>20</v>
      </c>
      <c r="G234" s="6" t="s">
        <v>215</v>
      </c>
      <c r="H234" s="22">
        <v>33.47</v>
      </c>
      <c r="I234" s="9">
        <v>5</v>
      </c>
      <c r="J234" s="22">
        <f t="shared" si="2"/>
        <v>167.35</v>
      </c>
      <c r="K234" s="9">
        <f t="array" ref="K234">QUARTILE(IF($F$3:$F$1460=$F234,$H$3:$H$1460),1)</f>
        <v>22.082500000000003</v>
      </c>
      <c r="L234" s="9">
        <f t="array" ref="L234">QUARTILE(IF($F$3:$F$1460=$F234,$H$3:$H$1460),2)</f>
        <v>31.15</v>
      </c>
      <c r="M234" s="9">
        <f t="array" ref="M234">QUARTILE(IF($F$3:$F$1460=$F234,$H$3:$H$1460),3)</f>
        <v>48.125</v>
      </c>
    </row>
    <row r="235" spans="1:14" x14ac:dyDescent="0.25">
      <c r="A235" s="7">
        <v>231</v>
      </c>
      <c r="B235" s="6" t="s">
        <v>130</v>
      </c>
      <c r="C235" s="7">
        <v>4185749</v>
      </c>
      <c r="D235" s="23" t="s">
        <v>131</v>
      </c>
      <c r="E235" s="6" t="s">
        <v>132</v>
      </c>
      <c r="F235" s="21" t="s">
        <v>20</v>
      </c>
      <c r="G235" s="6" t="s">
        <v>216</v>
      </c>
      <c r="H235" s="22">
        <v>73.39</v>
      </c>
      <c r="I235" s="9">
        <v>5</v>
      </c>
      <c r="J235" s="22">
        <f t="shared" si="2"/>
        <v>366.95</v>
      </c>
      <c r="K235" s="9">
        <f t="array" ref="K235">QUARTILE(IF($F$3:$F$1460=$F235,$H$3:$H$1460),1)</f>
        <v>22.082500000000003</v>
      </c>
      <c r="L235" s="9">
        <f t="array" ref="L235">QUARTILE(IF($F$3:$F$1460=$F235,$H$3:$H$1460),2)</f>
        <v>31.15</v>
      </c>
      <c r="M235" s="9">
        <f t="array" ref="M235">QUARTILE(IF($F$3:$F$1460=$F235,$H$3:$H$1460),3)</f>
        <v>48.125</v>
      </c>
    </row>
    <row r="236" spans="1:14" x14ac:dyDescent="0.25">
      <c r="A236" s="7">
        <v>232</v>
      </c>
      <c r="B236" s="6" t="s">
        <v>130</v>
      </c>
      <c r="C236" s="7">
        <v>4185749</v>
      </c>
      <c r="D236" s="23" t="s">
        <v>131</v>
      </c>
      <c r="E236" s="6" t="s">
        <v>132</v>
      </c>
      <c r="F236" s="21" t="s">
        <v>20</v>
      </c>
      <c r="G236" s="6" t="s">
        <v>288</v>
      </c>
      <c r="H236" s="22">
        <v>25.62</v>
      </c>
      <c r="I236" s="9">
        <v>10</v>
      </c>
      <c r="J236" s="22">
        <f t="shared" si="2"/>
        <v>256.2</v>
      </c>
      <c r="K236" s="9">
        <f t="array" ref="K236">QUARTILE(IF($F$3:$F$1460=$F236,$H$3:$H$1460),1)</f>
        <v>22.082500000000003</v>
      </c>
      <c r="L236" s="9">
        <f t="array" ref="L236">QUARTILE(IF($F$3:$F$1460=$F236,$H$3:$H$1460),2)</f>
        <v>31.15</v>
      </c>
      <c r="M236" s="9">
        <f t="array" ref="M236">QUARTILE(IF($F$3:$F$1460=$F236,$H$3:$H$1460),3)</f>
        <v>48.125</v>
      </c>
    </row>
    <row r="237" spans="1:14" x14ac:dyDescent="0.25">
      <c r="A237" s="7">
        <v>233</v>
      </c>
      <c r="B237" s="6" t="s">
        <v>130</v>
      </c>
      <c r="C237" s="7">
        <v>4185749</v>
      </c>
      <c r="D237" s="23" t="s">
        <v>131</v>
      </c>
      <c r="E237" s="6" t="s">
        <v>132</v>
      </c>
      <c r="F237" s="21" t="s">
        <v>20</v>
      </c>
      <c r="G237" s="6" t="s">
        <v>218</v>
      </c>
      <c r="H237" s="22">
        <v>20.53</v>
      </c>
      <c r="I237" s="9">
        <v>5</v>
      </c>
      <c r="J237" s="22">
        <f t="shared" si="2"/>
        <v>102.65</v>
      </c>
      <c r="K237" s="9">
        <f t="array" ref="K237">QUARTILE(IF($F$3:$F$1460=$F237,$H$3:$H$1460),1)</f>
        <v>22.082500000000003</v>
      </c>
      <c r="L237" s="9">
        <f t="array" ref="L237">QUARTILE(IF($F$3:$F$1460=$F237,$H$3:$H$1460),2)</f>
        <v>31.15</v>
      </c>
      <c r="M237" s="9">
        <f t="array" ref="M237">QUARTILE(IF($F$3:$F$1460=$F237,$H$3:$H$1460),3)</f>
        <v>48.125</v>
      </c>
    </row>
    <row r="238" spans="1:14" x14ac:dyDescent="0.25">
      <c r="A238" s="7">
        <v>234</v>
      </c>
      <c r="B238" s="6" t="s">
        <v>130</v>
      </c>
      <c r="C238" s="7">
        <v>4185749</v>
      </c>
      <c r="D238" s="23" t="s">
        <v>131</v>
      </c>
      <c r="E238" s="6" t="s">
        <v>132</v>
      </c>
      <c r="F238" s="21" t="s">
        <v>20</v>
      </c>
      <c r="G238" s="6" t="s">
        <v>289</v>
      </c>
      <c r="H238" s="22">
        <v>33.020000000000003</v>
      </c>
      <c r="I238" s="9">
        <v>5</v>
      </c>
      <c r="J238" s="22">
        <f t="shared" si="2"/>
        <v>165.10000000000002</v>
      </c>
      <c r="K238" s="9">
        <f t="array" ref="K238">QUARTILE(IF($F$3:$F$1460=$F238,$H$3:$H$1460),1)</f>
        <v>22.082500000000003</v>
      </c>
      <c r="L238" s="9">
        <f t="array" ref="L238">QUARTILE(IF($F$3:$F$1460=$F238,$H$3:$H$1460),2)</f>
        <v>31.15</v>
      </c>
      <c r="M238" s="9">
        <f t="array" ref="M238">QUARTILE(IF($F$3:$F$1460=$F238,$H$3:$H$1460),3)</f>
        <v>48.125</v>
      </c>
    </row>
    <row r="239" spans="1:14" x14ac:dyDescent="0.25">
      <c r="A239" s="7">
        <v>235</v>
      </c>
      <c r="B239" s="6" t="s">
        <v>130</v>
      </c>
      <c r="C239" s="7">
        <v>4185749</v>
      </c>
      <c r="D239" s="23" t="s">
        <v>131</v>
      </c>
      <c r="E239" s="6" t="s">
        <v>132</v>
      </c>
      <c r="F239" s="21" t="s">
        <v>20</v>
      </c>
      <c r="G239" s="6" t="s">
        <v>290</v>
      </c>
      <c r="H239" s="22">
        <v>17.309999999999999</v>
      </c>
      <c r="I239" s="9">
        <v>5</v>
      </c>
      <c r="J239" s="22">
        <f t="shared" si="2"/>
        <v>86.55</v>
      </c>
      <c r="K239" s="9">
        <f t="array" ref="K239">QUARTILE(IF($F$3:$F$1460=$F239,$H$3:$H$1460),1)</f>
        <v>22.082500000000003</v>
      </c>
      <c r="L239" s="9">
        <f t="array" ref="L239">QUARTILE(IF($F$3:$F$1460=$F239,$H$3:$H$1460),2)</f>
        <v>31.15</v>
      </c>
      <c r="M239" s="9">
        <f t="array" ref="M239">QUARTILE(IF($F$3:$F$1460=$F239,$H$3:$H$1460),3)</f>
        <v>48.125</v>
      </c>
    </row>
    <row r="240" spans="1:14" x14ac:dyDescent="0.25">
      <c r="A240" s="7">
        <v>236</v>
      </c>
      <c r="B240" s="6" t="s">
        <v>130</v>
      </c>
      <c r="C240" s="7">
        <v>4185749</v>
      </c>
      <c r="D240" s="23" t="s">
        <v>131</v>
      </c>
      <c r="E240" s="6" t="s">
        <v>132</v>
      </c>
      <c r="F240" s="21" t="s">
        <v>20</v>
      </c>
      <c r="G240" s="6" t="s">
        <v>221</v>
      </c>
      <c r="H240" s="22">
        <v>31.5</v>
      </c>
      <c r="I240" s="9">
        <v>5</v>
      </c>
      <c r="J240" s="22">
        <f t="shared" si="2"/>
        <v>157.5</v>
      </c>
      <c r="K240" s="9">
        <f t="array" ref="K240">QUARTILE(IF($F$3:$F$1460=$F240,$H$3:$H$1460),1)</f>
        <v>22.082500000000003</v>
      </c>
      <c r="L240" s="9">
        <f t="array" ref="L240">QUARTILE(IF($F$3:$F$1460=$F240,$H$3:$H$1460),2)</f>
        <v>31.15</v>
      </c>
      <c r="M240" s="9">
        <f t="array" ref="M240">QUARTILE(IF($F$3:$F$1460=$F240,$H$3:$H$1460),3)</f>
        <v>48.125</v>
      </c>
    </row>
    <row r="241" spans="1:13" x14ac:dyDescent="0.25">
      <c r="A241" s="7">
        <v>237</v>
      </c>
      <c r="B241" s="6" t="s">
        <v>130</v>
      </c>
      <c r="C241" s="7">
        <v>4185749</v>
      </c>
      <c r="D241" s="23" t="s">
        <v>131</v>
      </c>
      <c r="E241" s="6" t="s">
        <v>132</v>
      </c>
      <c r="F241" s="21" t="s">
        <v>20</v>
      </c>
      <c r="G241" s="6" t="s">
        <v>222</v>
      </c>
      <c r="H241" s="22">
        <v>73.39</v>
      </c>
      <c r="I241" s="9">
        <v>5</v>
      </c>
      <c r="J241" s="22">
        <f t="shared" si="2"/>
        <v>366.95</v>
      </c>
      <c r="K241" s="9">
        <f t="array" ref="K241">QUARTILE(IF($F$3:$F$1460=$F241,$H$3:$H$1460),1)</f>
        <v>22.082500000000003</v>
      </c>
      <c r="L241" s="9">
        <f t="array" ref="L241">QUARTILE(IF($F$3:$F$1460=$F241,$H$3:$H$1460),2)</f>
        <v>31.15</v>
      </c>
      <c r="M241" s="9">
        <f t="array" ref="M241">QUARTILE(IF($F$3:$F$1460=$F241,$H$3:$H$1460),3)</f>
        <v>48.125</v>
      </c>
    </row>
    <row r="242" spans="1:13" x14ac:dyDescent="0.25">
      <c r="A242" s="7">
        <v>238</v>
      </c>
      <c r="B242" s="6" t="s">
        <v>130</v>
      </c>
      <c r="C242" s="7">
        <v>4185749</v>
      </c>
      <c r="D242" s="23" t="s">
        <v>131</v>
      </c>
      <c r="E242" s="6" t="s">
        <v>132</v>
      </c>
      <c r="F242" s="21" t="s">
        <v>30</v>
      </c>
      <c r="G242" s="6" t="s">
        <v>223</v>
      </c>
      <c r="H242" s="22">
        <v>48.54</v>
      </c>
      <c r="I242" s="9">
        <v>5</v>
      </c>
      <c r="J242" s="22">
        <f t="shared" si="2"/>
        <v>242.7</v>
      </c>
      <c r="K242" s="9">
        <f t="array" ref="K242">QUARTILE(IF($F$3:$F$1460=$F242,$H$3:$H$1460),1)</f>
        <v>47.47</v>
      </c>
      <c r="L242" s="9">
        <f t="array" ref="L242">QUARTILE(IF($F$3:$F$1460=$F242,$H$3:$H$1460),2)</f>
        <v>86.69</v>
      </c>
      <c r="M242" s="9">
        <f t="array" ref="M242">QUARTILE(IF($F$3:$F$1460=$F242,$H$3:$H$1460),3)</f>
        <v>146.42500000000001</v>
      </c>
    </row>
    <row r="243" spans="1:13" x14ac:dyDescent="0.25">
      <c r="A243" s="7">
        <v>239</v>
      </c>
      <c r="B243" s="6" t="s">
        <v>130</v>
      </c>
      <c r="C243" s="7">
        <v>4185749</v>
      </c>
      <c r="D243" s="23" t="s">
        <v>131</v>
      </c>
      <c r="E243" s="6" t="s">
        <v>132</v>
      </c>
      <c r="F243" s="21" t="s">
        <v>30</v>
      </c>
      <c r="G243" s="6" t="s">
        <v>224</v>
      </c>
      <c r="H243" s="22">
        <v>142.85</v>
      </c>
      <c r="I243" s="9">
        <v>5</v>
      </c>
      <c r="J243" s="22">
        <f t="shared" si="2"/>
        <v>714.25</v>
      </c>
      <c r="K243" s="9">
        <f t="array" ref="K243">QUARTILE(IF($F$3:$F$1460=$F243,$H$3:$H$1460),1)</f>
        <v>47.47</v>
      </c>
      <c r="L243" s="9">
        <f t="array" ref="L243">QUARTILE(IF($F$3:$F$1460=$F243,$H$3:$H$1460),2)</f>
        <v>86.69</v>
      </c>
      <c r="M243" s="9">
        <f t="array" ref="M243">QUARTILE(IF($F$3:$F$1460=$F243,$H$3:$H$1460),3)</f>
        <v>146.42500000000001</v>
      </c>
    </row>
    <row r="244" spans="1:13" x14ac:dyDescent="0.25">
      <c r="A244" s="7">
        <v>240</v>
      </c>
      <c r="B244" s="6" t="s">
        <v>130</v>
      </c>
      <c r="C244" s="7">
        <v>4185749</v>
      </c>
      <c r="D244" s="23" t="s">
        <v>131</v>
      </c>
      <c r="E244" s="6" t="s">
        <v>132</v>
      </c>
      <c r="F244" s="21" t="s">
        <v>30</v>
      </c>
      <c r="G244" s="6" t="s">
        <v>225</v>
      </c>
      <c r="H244" s="22">
        <v>736.96</v>
      </c>
      <c r="I244" s="9">
        <v>5</v>
      </c>
      <c r="J244" s="22">
        <f t="shared" si="2"/>
        <v>3684.8</v>
      </c>
      <c r="K244" s="9">
        <f t="array" ref="K244">QUARTILE(IF($F$3:$F$1460=$F244,$H$3:$H$1460),1)</f>
        <v>47.47</v>
      </c>
      <c r="L244" s="9">
        <f t="array" ref="L244">QUARTILE(IF($F$3:$F$1460=$F244,$H$3:$H$1460),2)</f>
        <v>86.69</v>
      </c>
      <c r="M244" s="9">
        <f t="array" ref="M244">QUARTILE(IF($F$3:$F$1460=$F244,$H$3:$H$1460),3)</f>
        <v>146.42500000000001</v>
      </c>
    </row>
    <row r="245" spans="1:13" x14ac:dyDescent="0.25">
      <c r="A245" s="7">
        <v>241</v>
      </c>
      <c r="B245" s="6" t="s">
        <v>130</v>
      </c>
      <c r="C245" s="7">
        <v>4185749</v>
      </c>
      <c r="D245" s="23" t="s">
        <v>131</v>
      </c>
      <c r="E245" s="6" t="s">
        <v>132</v>
      </c>
      <c r="F245" s="21" t="s">
        <v>68</v>
      </c>
      <c r="G245" s="45" t="s">
        <v>226</v>
      </c>
      <c r="H245" s="22">
        <v>1207</v>
      </c>
      <c r="I245" s="9">
        <v>2</v>
      </c>
      <c r="J245" s="22">
        <f t="shared" si="2"/>
        <v>2414</v>
      </c>
      <c r="K245" s="9">
        <f t="array" ref="K245">QUARTILE(IF($F$3:$F$1460=$F245,$H$3:$H$1460),1)</f>
        <v>2032</v>
      </c>
      <c r="L245" s="9">
        <f t="array" ref="L245">QUARTILE(IF($F$3:$F$1460=$F245,$H$3:$H$1460),2)</f>
        <v>19360</v>
      </c>
      <c r="M245" s="9">
        <f t="array" ref="M245">QUARTILE(IF($F$3:$F$1460=$F245,$H$3:$H$1460),3)</f>
        <v>87628.37</v>
      </c>
    </row>
    <row r="246" spans="1:13" x14ac:dyDescent="0.25">
      <c r="A246" s="7">
        <v>242</v>
      </c>
      <c r="B246" s="6" t="s">
        <v>130</v>
      </c>
      <c r="C246" s="7">
        <v>4185749</v>
      </c>
      <c r="D246" s="23" t="s">
        <v>131</v>
      </c>
      <c r="E246" s="6" t="s">
        <v>132</v>
      </c>
      <c r="F246" s="21" t="s">
        <v>68</v>
      </c>
      <c r="G246" s="45" t="s">
        <v>291</v>
      </c>
      <c r="H246" s="22">
        <v>2481.66</v>
      </c>
      <c r="I246" s="9">
        <v>1</v>
      </c>
      <c r="J246" s="22">
        <f t="shared" si="2"/>
        <v>2481.66</v>
      </c>
      <c r="K246" s="9">
        <f t="array" ref="K246">QUARTILE(IF($F$3:$F$1460=$F246,$H$3:$H$1460),1)</f>
        <v>2032</v>
      </c>
      <c r="L246" s="9">
        <f t="array" ref="L246">QUARTILE(IF($F$3:$F$1460=$F246,$H$3:$H$1460),2)</f>
        <v>19360</v>
      </c>
      <c r="M246" s="9">
        <f t="array" ref="M246">QUARTILE(IF($F$3:$F$1460=$F246,$H$3:$H$1460),3)</f>
        <v>87628.37</v>
      </c>
    </row>
    <row r="247" spans="1:13" x14ac:dyDescent="0.25">
      <c r="A247" s="7">
        <v>243</v>
      </c>
      <c r="B247" s="6" t="s">
        <v>130</v>
      </c>
      <c r="C247" s="7">
        <v>4185749</v>
      </c>
      <c r="D247" s="23" t="s">
        <v>131</v>
      </c>
      <c r="E247" s="6" t="s">
        <v>132</v>
      </c>
      <c r="F247" s="21" t="s">
        <v>68</v>
      </c>
      <c r="G247" s="45" t="s">
        <v>228</v>
      </c>
      <c r="H247" s="22">
        <v>6673.33</v>
      </c>
      <c r="I247" s="9">
        <v>1</v>
      </c>
      <c r="J247" s="22">
        <f t="shared" si="2"/>
        <v>6673.33</v>
      </c>
      <c r="K247" s="9">
        <f t="array" ref="K247">QUARTILE(IF($F$3:$F$1460=$F247,$H$3:$H$1460),1)</f>
        <v>2032</v>
      </c>
      <c r="L247" s="9">
        <f t="array" ref="L247">QUARTILE(IF($F$3:$F$1460=$F247,$H$3:$H$1460),2)</f>
        <v>19360</v>
      </c>
      <c r="M247" s="9">
        <f t="array" ref="M247">QUARTILE(IF($F$3:$F$1460=$F247,$H$3:$H$1460),3)</f>
        <v>87628.37</v>
      </c>
    </row>
    <row r="248" spans="1:13" x14ac:dyDescent="0.25">
      <c r="A248" s="7">
        <v>244</v>
      </c>
      <c r="B248" s="6" t="s">
        <v>130</v>
      </c>
      <c r="C248" s="7">
        <v>4185749</v>
      </c>
      <c r="D248" s="23" t="s">
        <v>131</v>
      </c>
      <c r="E248" s="6" t="s">
        <v>132</v>
      </c>
      <c r="F248" s="21" t="s">
        <v>68</v>
      </c>
      <c r="G248" s="45" t="s">
        <v>292</v>
      </c>
      <c r="H248" s="22">
        <v>36006.06</v>
      </c>
      <c r="I248" s="9">
        <v>1</v>
      </c>
      <c r="J248" s="22">
        <f t="shared" si="2"/>
        <v>36006.06</v>
      </c>
      <c r="K248" s="9">
        <f t="array" ref="K248">QUARTILE(IF($F$3:$F$1460=$F248,$H$3:$H$1460),1)</f>
        <v>2032</v>
      </c>
      <c r="L248" s="9">
        <f t="array" ref="L248">QUARTILE(IF($F$3:$F$1460=$F248,$H$3:$H$1460),2)</f>
        <v>19360</v>
      </c>
      <c r="M248" s="9">
        <f t="array" ref="M248">QUARTILE(IF($F$3:$F$1460=$F248,$H$3:$H$1460),3)</f>
        <v>87628.37</v>
      </c>
    </row>
    <row r="249" spans="1:13" x14ac:dyDescent="0.25">
      <c r="A249" s="7">
        <v>245</v>
      </c>
      <c r="B249" s="6" t="s">
        <v>130</v>
      </c>
      <c r="C249" s="7">
        <v>4185749</v>
      </c>
      <c r="D249" s="23" t="s">
        <v>131</v>
      </c>
      <c r="E249" s="6" t="s">
        <v>132</v>
      </c>
      <c r="F249" s="21" t="s">
        <v>75</v>
      </c>
      <c r="G249" s="45" t="s">
        <v>230</v>
      </c>
      <c r="H249" s="22">
        <v>967.36</v>
      </c>
      <c r="I249" s="9">
        <v>4</v>
      </c>
      <c r="J249" s="22">
        <f t="shared" si="2"/>
        <v>3869.44</v>
      </c>
      <c r="K249" s="9">
        <f t="array" ref="K249">QUARTILE(IF($F$3:$F$1460=$F249,$H$3:$H$1460),1)</f>
        <v>7209.15</v>
      </c>
      <c r="L249" s="9">
        <f t="array" ref="L249">QUARTILE(IF($F$3:$F$1460=$F249,$H$3:$H$1460),2)</f>
        <v>15534.78</v>
      </c>
      <c r="M249" s="9">
        <f t="array" ref="M249">QUARTILE(IF($F$3:$F$1460=$F249,$H$3:$H$1460),3)</f>
        <v>29950.799999999999</v>
      </c>
    </row>
    <row r="250" spans="1:13" x14ac:dyDescent="0.25">
      <c r="A250" s="7">
        <v>246</v>
      </c>
      <c r="B250" s="6" t="s">
        <v>130</v>
      </c>
      <c r="C250" s="7">
        <v>4185749</v>
      </c>
      <c r="D250" s="23" t="s">
        <v>131</v>
      </c>
      <c r="E250" s="6" t="s">
        <v>132</v>
      </c>
      <c r="F250" s="21" t="s">
        <v>75</v>
      </c>
      <c r="G250" s="45" t="s">
        <v>231</v>
      </c>
      <c r="H250" s="22">
        <v>5925.81</v>
      </c>
      <c r="I250" s="9">
        <v>3</v>
      </c>
      <c r="J250" s="22">
        <f t="shared" si="2"/>
        <v>17777.43</v>
      </c>
      <c r="K250" s="9">
        <f t="array" ref="K250">QUARTILE(IF($F$3:$F$1460=$F250,$H$3:$H$1460),1)</f>
        <v>7209.15</v>
      </c>
      <c r="L250" s="9">
        <f t="array" ref="L250">QUARTILE(IF($F$3:$F$1460=$F250,$H$3:$H$1460),2)</f>
        <v>15534.78</v>
      </c>
      <c r="M250" s="9">
        <f t="array" ref="M250">QUARTILE(IF($F$3:$F$1460=$F250,$H$3:$H$1460),3)</f>
        <v>29950.799999999999</v>
      </c>
    </row>
    <row r="251" spans="1:13" x14ac:dyDescent="0.25">
      <c r="A251" s="7">
        <v>247</v>
      </c>
      <c r="B251" s="6" t="s">
        <v>130</v>
      </c>
      <c r="C251" s="7">
        <v>4185749</v>
      </c>
      <c r="D251" s="23" t="s">
        <v>131</v>
      </c>
      <c r="E251" s="6" t="s">
        <v>132</v>
      </c>
      <c r="F251" s="21" t="s">
        <v>75</v>
      </c>
      <c r="G251" s="45" t="s">
        <v>232</v>
      </c>
      <c r="H251" s="22">
        <v>8023.53</v>
      </c>
      <c r="I251" s="9">
        <v>1</v>
      </c>
      <c r="J251" s="22">
        <f t="shared" si="2"/>
        <v>8023.53</v>
      </c>
      <c r="K251" s="9">
        <f t="array" ref="K251">QUARTILE(IF($F$3:$F$1460=$F251,$H$3:$H$1460),1)</f>
        <v>7209.15</v>
      </c>
      <c r="L251" s="9">
        <f t="array" ref="L251">QUARTILE(IF($F$3:$F$1460=$F251,$H$3:$H$1460),2)</f>
        <v>15534.78</v>
      </c>
      <c r="M251" s="9">
        <f t="array" ref="M251">QUARTILE(IF($F$3:$F$1460=$F251,$H$3:$H$1460),3)</f>
        <v>29950.799999999999</v>
      </c>
    </row>
    <row r="252" spans="1:13" x14ac:dyDescent="0.25">
      <c r="A252" s="7">
        <v>248</v>
      </c>
      <c r="B252" s="6" t="s">
        <v>130</v>
      </c>
      <c r="C252" s="7">
        <v>4185749</v>
      </c>
      <c r="D252" s="23" t="s">
        <v>131</v>
      </c>
      <c r="E252" s="6" t="s">
        <v>132</v>
      </c>
      <c r="F252" s="21" t="s">
        <v>75</v>
      </c>
      <c r="G252" s="45" t="s">
        <v>293</v>
      </c>
      <c r="H252" s="22">
        <v>31360.15</v>
      </c>
      <c r="I252" s="9">
        <v>1</v>
      </c>
      <c r="J252" s="22">
        <f t="shared" ref="J252:J315" si="3">I252*H252</f>
        <v>31360.15</v>
      </c>
      <c r="K252" s="9">
        <f t="array" ref="K252">QUARTILE(IF($F$3:$F$1460=$F252,$H$3:$H$1460),1)</f>
        <v>7209.15</v>
      </c>
      <c r="L252" s="9">
        <f t="array" ref="L252">QUARTILE(IF($F$3:$F$1460=$F252,$H$3:$H$1460),2)</f>
        <v>15534.78</v>
      </c>
      <c r="M252" s="9">
        <f t="array" ref="M252">QUARTILE(IF($F$3:$F$1460=$F252,$H$3:$H$1460),3)</f>
        <v>29950.799999999999</v>
      </c>
    </row>
    <row r="253" spans="1:13" x14ac:dyDescent="0.25">
      <c r="A253" s="7">
        <v>249</v>
      </c>
      <c r="B253" s="6" t="s">
        <v>130</v>
      </c>
      <c r="C253" s="7">
        <v>4185749</v>
      </c>
      <c r="D253" s="23" t="s">
        <v>131</v>
      </c>
      <c r="E253" s="6" t="s">
        <v>132</v>
      </c>
      <c r="F253" s="21" t="s">
        <v>67</v>
      </c>
      <c r="G253" s="6" t="s">
        <v>234</v>
      </c>
      <c r="H253" s="22">
        <v>2457.09</v>
      </c>
      <c r="I253" s="9">
        <v>10</v>
      </c>
      <c r="J253" s="22">
        <f t="shared" si="3"/>
        <v>24570.9</v>
      </c>
      <c r="K253" s="9">
        <f t="array" ref="K253">QUARTILE(IF($F$3:$F$1460=$F253,$H$3:$H$1460),1)</f>
        <v>1759.125</v>
      </c>
      <c r="L253" s="9">
        <f t="array" ref="L253">QUARTILE(IF($F$3:$F$1460=$F253,$H$3:$H$1460),2)</f>
        <v>3923.7249999999999</v>
      </c>
      <c r="M253" s="9">
        <f t="array" ref="M253">QUARTILE(IF($F$3:$F$1460=$F253,$H$3:$H$1460),3)</f>
        <v>12062.504999999999</v>
      </c>
    </row>
    <row r="254" spans="1:13" x14ac:dyDescent="0.25">
      <c r="A254" s="7">
        <v>250</v>
      </c>
      <c r="B254" s="6" t="s">
        <v>130</v>
      </c>
      <c r="C254" s="7">
        <v>4185749</v>
      </c>
      <c r="D254" s="23" t="s">
        <v>131</v>
      </c>
      <c r="E254" s="6" t="s">
        <v>132</v>
      </c>
      <c r="F254" s="21" t="s">
        <v>67</v>
      </c>
      <c r="G254" s="6" t="s">
        <v>235</v>
      </c>
      <c r="H254" s="22">
        <v>2612.34</v>
      </c>
      <c r="I254" s="9">
        <v>10</v>
      </c>
      <c r="J254" s="22">
        <f t="shared" si="3"/>
        <v>26123.4</v>
      </c>
      <c r="K254" s="9">
        <f t="array" ref="K254">QUARTILE(IF($F$3:$F$1460=$F254,$H$3:$H$1460),1)</f>
        <v>1759.125</v>
      </c>
      <c r="L254" s="9">
        <f t="array" ref="L254">QUARTILE(IF($F$3:$F$1460=$F254,$H$3:$H$1460),2)</f>
        <v>3923.7249999999999</v>
      </c>
      <c r="M254" s="9">
        <f t="array" ref="M254">QUARTILE(IF($F$3:$F$1460=$F254,$H$3:$H$1460),3)</f>
        <v>12062.504999999999</v>
      </c>
    </row>
    <row r="255" spans="1:13" x14ac:dyDescent="0.25">
      <c r="A255" s="7">
        <v>251</v>
      </c>
      <c r="B255" s="6" t="s">
        <v>130</v>
      </c>
      <c r="C255" s="7">
        <v>4185749</v>
      </c>
      <c r="D255" s="23" t="s">
        <v>131</v>
      </c>
      <c r="E255" s="6" t="s">
        <v>132</v>
      </c>
      <c r="F255" s="21" t="s">
        <v>67</v>
      </c>
      <c r="G255" s="6" t="s">
        <v>236</v>
      </c>
      <c r="H255" s="22">
        <v>4302.82</v>
      </c>
      <c r="I255" s="9">
        <v>3</v>
      </c>
      <c r="J255" s="22">
        <f t="shared" si="3"/>
        <v>12908.46</v>
      </c>
      <c r="K255" s="9">
        <f t="array" ref="K255">QUARTILE(IF($F$3:$F$1460=$F255,$H$3:$H$1460),1)</f>
        <v>1759.125</v>
      </c>
      <c r="L255" s="9">
        <f t="array" ref="L255">QUARTILE(IF($F$3:$F$1460=$F255,$H$3:$H$1460),2)</f>
        <v>3923.7249999999999</v>
      </c>
      <c r="M255" s="9">
        <f t="array" ref="M255">QUARTILE(IF($F$3:$F$1460=$F255,$H$3:$H$1460),3)</f>
        <v>12062.504999999999</v>
      </c>
    </row>
    <row r="256" spans="1:13" x14ac:dyDescent="0.25">
      <c r="A256" s="7">
        <v>252</v>
      </c>
      <c r="B256" s="6" t="s">
        <v>130</v>
      </c>
      <c r="C256" s="7">
        <v>4185749</v>
      </c>
      <c r="D256" s="23" t="s">
        <v>131</v>
      </c>
      <c r="E256" s="6" t="s">
        <v>132</v>
      </c>
      <c r="F256" s="21" t="s">
        <v>67</v>
      </c>
      <c r="G256" s="6" t="s">
        <v>237</v>
      </c>
      <c r="H256" s="22">
        <v>4983.5600000000004</v>
      </c>
      <c r="I256" s="9">
        <v>3</v>
      </c>
      <c r="J256" s="22">
        <f t="shared" si="3"/>
        <v>14950.68</v>
      </c>
      <c r="K256" s="9">
        <f t="array" ref="K256">QUARTILE(IF($F$3:$F$1460=$F256,$H$3:$H$1460),1)</f>
        <v>1759.125</v>
      </c>
      <c r="L256" s="9">
        <f t="array" ref="L256">QUARTILE(IF($F$3:$F$1460=$F256,$H$3:$H$1460),2)</f>
        <v>3923.7249999999999</v>
      </c>
      <c r="M256" s="9">
        <f t="array" ref="M256">QUARTILE(IF($F$3:$F$1460=$F256,$H$3:$H$1460),3)</f>
        <v>12062.504999999999</v>
      </c>
    </row>
    <row r="257" spans="1:13" x14ac:dyDescent="0.25">
      <c r="A257" s="7">
        <v>253</v>
      </c>
      <c r="B257" s="6" t="s">
        <v>130</v>
      </c>
      <c r="C257" s="7">
        <v>4185749</v>
      </c>
      <c r="D257" s="23" t="s">
        <v>131</v>
      </c>
      <c r="E257" s="6" t="s">
        <v>132</v>
      </c>
      <c r="F257" s="21" t="s">
        <v>67</v>
      </c>
      <c r="G257" s="6" t="s">
        <v>238</v>
      </c>
      <c r="H257" s="22">
        <v>20461.759999999998</v>
      </c>
      <c r="I257" s="9">
        <v>2</v>
      </c>
      <c r="J257" s="22">
        <f t="shared" si="3"/>
        <v>40923.519999999997</v>
      </c>
      <c r="K257" s="9">
        <f t="array" ref="K257">QUARTILE(IF($F$3:$F$1460=$F257,$H$3:$H$1460),1)</f>
        <v>1759.125</v>
      </c>
      <c r="L257" s="9">
        <f t="array" ref="L257">QUARTILE(IF($F$3:$F$1460=$F257,$H$3:$H$1460),2)</f>
        <v>3923.7249999999999</v>
      </c>
      <c r="M257" s="9">
        <f t="array" ref="M257">QUARTILE(IF($F$3:$F$1460=$F257,$H$3:$H$1460),3)</f>
        <v>12062.504999999999</v>
      </c>
    </row>
    <row r="258" spans="1:13" x14ac:dyDescent="0.25">
      <c r="A258" s="7">
        <v>254</v>
      </c>
      <c r="B258" s="6" t="s">
        <v>130</v>
      </c>
      <c r="C258" s="7">
        <v>4185749</v>
      </c>
      <c r="D258" s="23" t="s">
        <v>131</v>
      </c>
      <c r="E258" s="6" t="s">
        <v>132</v>
      </c>
      <c r="F258" s="21" t="s">
        <v>67</v>
      </c>
      <c r="G258" s="6" t="s">
        <v>239</v>
      </c>
      <c r="H258" s="22">
        <v>30207.83</v>
      </c>
      <c r="I258" s="9">
        <v>1</v>
      </c>
      <c r="J258" s="22">
        <f t="shared" si="3"/>
        <v>30207.83</v>
      </c>
      <c r="K258" s="9">
        <f t="array" ref="K258">QUARTILE(IF($F$3:$F$1460=$F258,$H$3:$H$1460),1)</f>
        <v>1759.125</v>
      </c>
      <c r="L258" s="9">
        <f t="array" ref="L258">QUARTILE(IF($F$3:$F$1460=$F258,$H$3:$H$1460),2)</f>
        <v>3923.7249999999999</v>
      </c>
      <c r="M258" s="9">
        <f t="array" ref="M258">QUARTILE(IF($F$3:$F$1460=$F258,$H$3:$H$1460),3)</f>
        <v>12062.504999999999</v>
      </c>
    </row>
    <row r="259" spans="1:13" x14ac:dyDescent="0.25">
      <c r="A259" s="7">
        <v>255</v>
      </c>
      <c r="B259" s="6" t="s">
        <v>130</v>
      </c>
      <c r="C259" s="7">
        <v>4185749</v>
      </c>
      <c r="D259" s="23" t="s">
        <v>131</v>
      </c>
      <c r="E259" s="6" t="s">
        <v>132</v>
      </c>
      <c r="F259" s="21" t="s">
        <v>36</v>
      </c>
      <c r="G259" s="6" t="s">
        <v>240</v>
      </c>
      <c r="H259" s="22">
        <v>170.73</v>
      </c>
      <c r="I259" s="9">
        <v>10</v>
      </c>
      <c r="J259" s="22">
        <f t="shared" si="3"/>
        <v>1707.3</v>
      </c>
      <c r="K259" s="9">
        <f t="array" ref="K259">QUARTILE(IF($F$3:$F$1460=$F259,$H$3:$H$1460),1)</f>
        <v>88.21</v>
      </c>
      <c r="L259" s="9">
        <f t="array" ref="L259">QUARTILE(IF($F$3:$F$1460=$F259,$H$3:$H$1460),2)</f>
        <v>134.57</v>
      </c>
      <c r="M259" s="9">
        <f t="array" ref="M259">QUARTILE(IF($F$3:$F$1460=$F259,$H$3:$H$1460),3)</f>
        <v>252.7</v>
      </c>
    </row>
    <row r="260" spans="1:13" x14ac:dyDescent="0.25">
      <c r="A260" s="7">
        <v>256</v>
      </c>
      <c r="B260" s="6" t="s">
        <v>130</v>
      </c>
      <c r="C260" s="7">
        <v>4185749</v>
      </c>
      <c r="D260" s="23" t="s">
        <v>131</v>
      </c>
      <c r="E260" s="6" t="s">
        <v>132</v>
      </c>
      <c r="F260" s="21" t="s">
        <v>36</v>
      </c>
      <c r="G260" s="6" t="s">
        <v>241</v>
      </c>
      <c r="H260" s="22">
        <v>88.41</v>
      </c>
      <c r="I260" s="9">
        <v>6</v>
      </c>
      <c r="J260" s="22">
        <f t="shared" si="3"/>
        <v>530.46</v>
      </c>
      <c r="K260" s="9">
        <f t="array" ref="K260">QUARTILE(IF($F$3:$F$1460=$F260,$H$3:$H$1460),1)</f>
        <v>88.21</v>
      </c>
      <c r="L260" s="9">
        <f t="array" ref="L260">QUARTILE(IF($F$3:$F$1460=$F260,$H$3:$H$1460),2)</f>
        <v>134.57</v>
      </c>
      <c r="M260" s="9">
        <f t="array" ref="M260">QUARTILE(IF($F$3:$F$1460=$F260,$H$3:$H$1460),3)</f>
        <v>252.7</v>
      </c>
    </row>
    <row r="261" spans="1:13" x14ac:dyDescent="0.25">
      <c r="A261" s="7">
        <v>257</v>
      </c>
      <c r="B261" s="6" t="s">
        <v>130</v>
      </c>
      <c r="C261" s="7">
        <v>4185749</v>
      </c>
      <c r="D261" s="23" t="s">
        <v>131</v>
      </c>
      <c r="E261" s="6" t="s">
        <v>132</v>
      </c>
      <c r="F261" s="21" t="s">
        <v>36</v>
      </c>
      <c r="G261" s="6" t="s">
        <v>242</v>
      </c>
      <c r="H261" s="22">
        <v>97.56</v>
      </c>
      <c r="I261" s="9">
        <v>6</v>
      </c>
      <c r="J261" s="22">
        <f t="shared" si="3"/>
        <v>585.36</v>
      </c>
      <c r="K261" s="9">
        <f t="array" ref="K261">QUARTILE(IF($F$3:$F$1460=$F261,$H$3:$H$1460),1)</f>
        <v>88.21</v>
      </c>
      <c r="L261" s="9">
        <f t="array" ref="L261">QUARTILE(IF($F$3:$F$1460=$F261,$H$3:$H$1460),2)</f>
        <v>134.57</v>
      </c>
      <c r="M261" s="9">
        <f t="array" ref="M261">QUARTILE(IF($F$3:$F$1460=$F261,$H$3:$H$1460),3)</f>
        <v>252.7</v>
      </c>
    </row>
    <row r="262" spans="1:13" x14ac:dyDescent="0.25">
      <c r="A262" s="7">
        <v>258</v>
      </c>
      <c r="B262" s="6" t="s">
        <v>130</v>
      </c>
      <c r="C262" s="7">
        <v>4185749</v>
      </c>
      <c r="D262" s="23" t="s">
        <v>131</v>
      </c>
      <c r="E262" s="6" t="s">
        <v>132</v>
      </c>
      <c r="F262" s="21" t="s">
        <v>36</v>
      </c>
      <c r="G262" s="6" t="s">
        <v>294</v>
      </c>
      <c r="H262" s="22">
        <v>134.57</v>
      </c>
      <c r="I262" s="9">
        <v>10</v>
      </c>
      <c r="J262" s="22">
        <f t="shared" si="3"/>
        <v>1345.6999999999998</v>
      </c>
      <c r="K262" s="9">
        <f t="array" ref="K262">QUARTILE(IF($F$3:$F$1460=$F262,$H$3:$H$1460),1)</f>
        <v>88.21</v>
      </c>
      <c r="L262" s="9">
        <f t="array" ref="L262">QUARTILE(IF($F$3:$F$1460=$F262,$H$3:$H$1460),2)</f>
        <v>134.57</v>
      </c>
      <c r="M262" s="9">
        <f t="array" ref="M262">QUARTILE(IF($F$3:$F$1460=$F262,$H$3:$H$1460),3)</f>
        <v>252.7</v>
      </c>
    </row>
    <row r="263" spans="1:13" x14ac:dyDescent="0.25">
      <c r="A263" s="7">
        <v>259</v>
      </c>
      <c r="B263" s="6" t="s">
        <v>130</v>
      </c>
      <c r="C263" s="7">
        <v>4185749</v>
      </c>
      <c r="D263" s="23" t="s">
        <v>131</v>
      </c>
      <c r="E263" s="6" t="s">
        <v>132</v>
      </c>
      <c r="F263" s="21" t="s">
        <v>36</v>
      </c>
      <c r="G263" s="6" t="s">
        <v>244</v>
      </c>
      <c r="H263" s="22">
        <v>78.05</v>
      </c>
      <c r="I263" s="9">
        <v>4</v>
      </c>
      <c r="J263" s="22">
        <f t="shared" si="3"/>
        <v>312.2</v>
      </c>
      <c r="K263" s="9">
        <f t="array" ref="K263">QUARTILE(IF($F$3:$F$1460=$F263,$H$3:$H$1460),1)</f>
        <v>88.21</v>
      </c>
      <c r="L263" s="9">
        <f t="array" ref="L263">QUARTILE(IF($F$3:$F$1460=$F263,$H$3:$H$1460),2)</f>
        <v>134.57</v>
      </c>
      <c r="M263" s="9">
        <f t="array" ref="M263">QUARTILE(IF($F$3:$F$1460=$F263,$H$3:$H$1460),3)</f>
        <v>252.7</v>
      </c>
    </row>
    <row r="264" spans="1:13" x14ac:dyDescent="0.25">
      <c r="A264" s="7">
        <v>260</v>
      </c>
      <c r="B264" s="6" t="s">
        <v>130</v>
      </c>
      <c r="C264" s="7">
        <v>4185749</v>
      </c>
      <c r="D264" s="23" t="s">
        <v>131</v>
      </c>
      <c r="E264" s="6" t="s">
        <v>132</v>
      </c>
      <c r="F264" s="21" t="s">
        <v>32</v>
      </c>
      <c r="G264" s="45" t="s">
        <v>245</v>
      </c>
      <c r="H264" s="22">
        <v>49.28</v>
      </c>
      <c r="I264" s="9">
        <v>1</v>
      </c>
      <c r="J264" s="22">
        <f t="shared" si="3"/>
        <v>49.28</v>
      </c>
      <c r="K264" s="9">
        <f t="array" ref="K264">QUARTILE(IF($F$3:$F$1460=$F264,$H$3:$H$1460),1)</f>
        <v>59.227499999999999</v>
      </c>
      <c r="L264" s="9">
        <f t="array" ref="L264">QUARTILE(IF($F$3:$F$1460=$F264,$H$3:$H$1460),2)</f>
        <v>332.14</v>
      </c>
      <c r="M264" s="9">
        <f t="array" ref="M264">QUARTILE(IF($F$3:$F$1460=$F264,$H$3:$H$1460),3)</f>
        <v>1331.8050000000001</v>
      </c>
    </row>
    <row r="265" spans="1:13" x14ac:dyDescent="0.25">
      <c r="A265" s="7">
        <v>261</v>
      </c>
      <c r="B265" s="6" t="s">
        <v>130</v>
      </c>
      <c r="C265" s="7">
        <v>4185749</v>
      </c>
      <c r="D265" s="23" t="s">
        <v>131</v>
      </c>
      <c r="E265" s="6" t="s">
        <v>132</v>
      </c>
      <c r="F265" s="21" t="s">
        <v>32</v>
      </c>
      <c r="G265" s="45" t="s">
        <v>246</v>
      </c>
      <c r="H265" s="22">
        <v>54.55</v>
      </c>
      <c r="I265" s="9">
        <v>1</v>
      </c>
      <c r="J265" s="22">
        <f t="shared" si="3"/>
        <v>54.55</v>
      </c>
      <c r="K265" s="9">
        <f t="array" ref="K265">QUARTILE(IF($F$3:$F$1460=$F265,$H$3:$H$1460),1)</f>
        <v>59.227499999999999</v>
      </c>
      <c r="L265" s="9">
        <f t="array" ref="L265">QUARTILE(IF($F$3:$F$1460=$F265,$H$3:$H$1460),2)</f>
        <v>332.14</v>
      </c>
      <c r="M265" s="9">
        <f t="array" ref="M265">QUARTILE(IF($F$3:$F$1460=$F265,$H$3:$H$1460),3)</f>
        <v>1331.8050000000001</v>
      </c>
    </row>
    <row r="266" spans="1:13" x14ac:dyDescent="0.25">
      <c r="A266" s="7">
        <v>262</v>
      </c>
      <c r="B266" s="6" t="s">
        <v>130</v>
      </c>
      <c r="C266" s="7">
        <v>4185749</v>
      </c>
      <c r="D266" s="23" t="s">
        <v>131</v>
      </c>
      <c r="E266" s="6" t="s">
        <v>132</v>
      </c>
      <c r="F266" s="21" t="s">
        <v>32</v>
      </c>
      <c r="G266" s="45" t="s">
        <v>247</v>
      </c>
      <c r="H266" s="22">
        <v>135.09</v>
      </c>
      <c r="I266" s="9">
        <v>1</v>
      </c>
      <c r="J266" s="22">
        <f t="shared" si="3"/>
        <v>135.09</v>
      </c>
      <c r="K266" s="9">
        <f t="array" ref="K266">QUARTILE(IF($F$3:$F$1460=$F266,$H$3:$H$1460),1)</f>
        <v>59.227499999999999</v>
      </c>
      <c r="L266" s="9">
        <f t="array" ref="L266">QUARTILE(IF($F$3:$F$1460=$F266,$H$3:$H$1460),2)</f>
        <v>332.14</v>
      </c>
      <c r="M266" s="9">
        <f t="array" ref="M266">QUARTILE(IF($F$3:$F$1460=$F266,$H$3:$H$1460),3)</f>
        <v>1331.8050000000001</v>
      </c>
    </row>
    <row r="267" spans="1:13" x14ac:dyDescent="0.25">
      <c r="A267" s="7">
        <v>263</v>
      </c>
      <c r="B267" s="6" t="s">
        <v>130</v>
      </c>
      <c r="C267" s="7">
        <v>4185749</v>
      </c>
      <c r="D267" s="23" t="s">
        <v>131</v>
      </c>
      <c r="E267" s="6" t="s">
        <v>132</v>
      </c>
      <c r="F267" s="21" t="s">
        <v>32</v>
      </c>
      <c r="G267" s="45" t="s">
        <v>248</v>
      </c>
      <c r="H267" s="22">
        <v>442.04</v>
      </c>
      <c r="I267" s="9">
        <v>1</v>
      </c>
      <c r="J267" s="22">
        <f t="shared" si="3"/>
        <v>442.04</v>
      </c>
      <c r="K267" s="9">
        <f t="array" ref="K267">QUARTILE(IF($F$3:$F$1460=$F267,$H$3:$H$1460),1)</f>
        <v>59.227499999999999</v>
      </c>
      <c r="L267" s="9">
        <f t="array" ref="L267">QUARTILE(IF($F$3:$F$1460=$F267,$H$3:$H$1460),2)</f>
        <v>332.14</v>
      </c>
      <c r="M267" s="9">
        <f t="array" ref="M267">QUARTILE(IF($F$3:$F$1460=$F267,$H$3:$H$1460),3)</f>
        <v>1331.8050000000001</v>
      </c>
    </row>
    <row r="268" spans="1:13" x14ac:dyDescent="0.25">
      <c r="A268" s="7">
        <v>264</v>
      </c>
      <c r="B268" s="6" t="s">
        <v>130</v>
      </c>
      <c r="C268" s="7">
        <v>4185749</v>
      </c>
      <c r="D268" s="23" t="s">
        <v>131</v>
      </c>
      <c r="E268" s="6" t="s">
        <v>132</v>
      </c>
      <c r="F268" s="21" t="s">
        <v>32</v>
      </c>
      <c r="G268" s="45" t="s">
        <v>249</v>
      </c>
      <c r="H268" s="22">
        <v>1166.3399999999999</v>
      </c>
      <c r="I268" s="9">
        <v>1</v>
      </c>
      <c r="J268" s="22">
        <f t="shared" si="3"/>
        <v>1166.3399999999999</v>
      </c>
      <c r="K268" s="9">
        <f t="array" ref="K268">QUARTILE(IF($F$3:$F$1460=$F268,$H$3:$H$1460),1)</f>
        <v>59.227499999999999</v>
      </c>
      <c r="L268" s="9">
        <f t="array" ref="L268">QUARTILE(IF($F$3:$F$1460=$F268,$H$3:$H$1460),2)</f>
        <v>332.14</v>
      </c>
      <c r="M268" s="9">
        <f t="array" ref="M268">QUARTILE(IF($F$3:$F$1460=$F268,$H$3:$H$1460),3)</f>
        <v>1331.8050000000001</v>
      </c>
    </row>
    <row r="269" spans="1:13" x14ac:dyDescent="0.25">
      <c r="A269" s="7">
        <v>265</v>
      </c>
      <c r="B269" s="6" t="s">
        <v>130</v>
      </c>
      <c r="C269" s="7">
        <v>4185749</v>
      </c>
      <c r="D269" s="23" t="s">
        <v>131</v>
      </c>
      <c r="E269" s="6" t="s">
        <v>132</v>
      </c>
      <c r="F269" s="21" t="s">
        <v>32</v>
      </c>
      <c r="G269" s="45" t="s">
        <v>250</v>
      </c>
      <c r="H269" s="22">
        <v>2077.3200000000002</v>
      </c>
      <c r="I269" s="9">
        <v>1</v>
      </c>
      <c r="J269" s="22">
        <f t="shared" si="3"/>
        <v>2077.3200000000002</v>
      </c>
      <c r="K269" s="9">
        <f t="array" ref="K269">QUARTILE(IF($F$3:$F$1460=$F269,$H$3:$H$1460),1)</f>
        <v>59.227499999999999</v>
      </c>
      <c r="L269" s="9">
        <f t="array" ref="L269">QUARTILE(IF($F$3:$F$1460=$F269,$H$3:$H$1460),2)</f>
        <v>332.14</v>
      </c>
      <c r="M269" s="9">
        <f t="array" ref="M269">QUARTILE(IF($F$3:$F$1460=$F269,$H$3:$H$1460),3)</f>
        <v>1331.8050000000001</v>
      </c>
    </row>
    <row r="270" spans="1:13" x14ac:dyDescent="0.25">
      <c r="A270" s="7">
        <v>266</v>
      </c>
      <c r="B270" s="6" t="s">
        <v>130</v>
      </c>
      <c r="C270" s="7">
        <v>4185749</v>
      </c>
      <c r="D270" s="23" t="s">
        <v>131</v>
      </c>
      <c r="E270" s="6" t="s">
        <v>132</v>
      </c>
      <c r="F270" s="21" t="s">
        <v>62</v>
      </c>
      <c r="G270" s="30" t="s">
        <v>295</v>
      </c>
      <c r="H270" s="22">
        <v>751.28</v>
      </c>
      <c r="I270" s="9">
        <v>30</v>
      </c>
      <c r="J270" s="22">
        <f t="shared" si="3"/>
        <v>22538.399999999998</v>
      </c>
      <c r="K270" s="9">
        <f t="array" ref="K270">QUARTILE(IF($F$3:$F$1460=$F270,$H$3:$H$1460),1)</f>
        <v>783.15</v>
      </c>
      <c r="L270" s="9">
        <f t="array" ref="L270">QUARTILE(IF($F$3:$F$1460=$F270,$H$3:$H$1460),2)</f>
        <v>1196.3</v>
      </c>
      <c r="M270" s="9">
        <f t="array" ref="M270">QUARTILE(IF($F$3:$F$1460=$F270,$H$3:$H$1460),3)</f>
        <v>1455.5</v>
      </c>
    </row>
    <row r="271" spans="1:13" x14ac:dyDescent="0.25">
      <c r="A271" s="7">
        <v>267</v>
      </c>
      <c r="B271" s="6" t="s">
        <v>130</v>
      </c>
      <c r="C271" s="7">
        <v>4185749</v>
      </c>
      <c r="D271" s="23" t="s">
        <v>131</v>
      </c>
      <c r="E271" s="6" t="s">
        <v>132</v>
      </c>
      <c r="F271" s="21" t="s">
        <v>62</v>
      </c>
      <c r="G271" s="6" t="s">
        <v>252</v>
      </c>
      <c r="H271" s="22">
        <v>1325.53</v>
      </c>
      <c r="I271" s="9">
        <v>15</v>
      </c>
      <c r="J271" s="22">
        <f t="shared" si="3"/>
        <v>19882.95</v>
      </c>
      <c r="K271" s="9">
        <f t="array" ref="K271">QUARTILE(IF($F$3:$F$1460=$F271,$H$3:$H$1460),1)</f>
        <v>783.15</v>
      </c>
      <c r="L271" s="9">
        <f t="array" ref="L271">QUARTILE(IF($F$3:$F$1460=$F271,$H$3:$H$1460),2)</f>
        <v>1196.3</v>
      </c>
      <c r="M271" s="9">
        <f t="array" ref="M271">QUARTILE(IF($F$3:$F$1460=$F271,$H$3:$H$1460),3)</f>
        <v>1455.5</v>
      </c>
    </row>
    <row r="272" spans="1:13" x14ac:dyDescent="0.25">
      <c r="A272" s="7">
        <v>268</v>
      </c>
      <c r="B272" s="6" t="s">
        <v>130</v>
      </c>
      <c r="C272" s="7">
        <v>4185749</v>
      </c>
      <c r="D272" s="23" t="s">
        <v>131</v>
      </c>
      <c r="E272" s="6" t="s">
        <v>132</v>
      </c>
      <c r="F272" s="21" t="s">
        <v>62</v>
      </c>
      <c r="G272" s="6" t="s">
        <v>296</v>
      </c>
      <c r="H272" s="22">
        <v>696.15</v>
      </c>
      <c r="I272" s="9">
        <v>30</v>
      </c>
      <c r="J272" s="22">
        <f t="shared" si="3"/>
        <v>20884.5</v>
      </c>
      <c r="K272" s="9">
        <f t="array" ref="K272">QUARTILE(IF($F$3:$F$1460=$F272,$H$3:$H$1460),1)</f>
        <v>783.15</v>
      </c>
      <c r="L272" s="9">
        <f t="array" ref="L272">QUARTILE(IF($F$3:$F$1460=$F272,$H$3:$H$1460),2)</f>
        <v>1196.3</v>
      </c>
      <c r="M272" s="9">
        <f t="array" ref="M272">QUARTILE(IF($F$3:$F$1460=$F272,$H$3:$H$1460),3)</f>
        <v>1455.5</v>
      </c>
    </row>
    <row r="273" spans="1:13" x14ac:dyDescent="0.25">
      <c r="A273" s="7">
        <v>269</v>
      </c>
      <c r="B273" s="6" t="s">
        <v>130</v>
      </c>
      <c r="C273" s="7">
        <v>4185749</v>
      </c>
      <c r="D273" s="23" t="s">
        <v>131</v>
      </c>
      <c r="E273" s="6" t="s">
        <v>132</v>
      </c>
      <c r="F273" s="21" t="s">
        <v>62</v>
      </c>
      <c r="G273" s="6" t="s">
        <v>254</v>
      </c>
      <c r="H273" s="22">
        <v>779.81</v>
      </c>
      <c r="I273" s="9">
        <v>18</v>
      </c>
      <c r="J273" s="22">
        <f t="shared" si="3"/>
        <v>14036.579999999998</v>
      </c>
      <c r="K273" s="9">
        <f t="array" ref="K273">QUARTILE(IF($F$3:$F$1460=$F273,$H$3:$H$1460),1)</f>
        <v>783.15</v>
      </c>
      <c r="L273" s="9">
        <f t="array" ref="L273">QUARTILE(IF($F$3:$F$1460=$F273,$H$3:$H$1460),2)</f>
        <v>1196.3</v>
      </c>
      <c r="M273" s="9">
        <f t="array" ref="M273">QUARTILE(IF($F$3:$F$1460=$F273,$H$3:$H$1460),3)</f>
        <v>1455.5</v>
      </c>
    </row>
    <row r="274" spans="1:13" x14ac:dyDescent="0.25">
      <c r="A274" s="7">
        <v>270</v>
      </c>
      <c r="B274" s="6" t="s">
        <v>130</v>
      </c>
      <c r="C274" s="7">
        <v>4185749</v>
      </c>
      <c r="D274" s="23" t="s">
        <v>131</v>
      </c>
      <c r="E274" s="6" t="s">
        <v>132</v>
      </c>
      <c r="F274" s="21" t="s">
        <v>62</v>
      </c>
      <c r="G274" s="6" t="s">
        <v>255</v>
      </c>
      <c r="H274" s="22">
        <v>1240.05</v>
      </c>
      <c r="I274" s="9">
        <v>10</v>
      </c>
      <c r="J274" s="22">
        <f t="shared" si="3"/>
        <v>12400.5</v>
      </c>
      <c r="K274" s="9">
        <f t="array" ref="K274">QUARTILE(IF($F$3:$F$1460=$F274,$H$3:$H$1460),1)</f>
        <v>783.15</v>
      </c>
      <c r="L274" s="9">
        <f t="array" ref="L274">QUARTILE(IF($F$3:$F$1460=$F274,$H$3:$H$1460),2)</f>
        <v>1196.3</v>
      </c>
      <c r="M274" s="9">
        <f t="array" ref="M274">QUARTILE(IF($F$3:$F$1460=$F274,$H$3:$H$1460),3)</f>
        <v>1455.5</v>
      </c>
    </row>
    <row r="275" spans="1:13" x14ac:dyDescent="0.25">
      <c r="A275" s="7">
        <v>271</v>
      </c>
      <c r="B275" s="6" t="s">
        <v>130</v>
      </c>
      <c r="C275" s="7">
        <v>4185749</v>
      </c>
      <c r="D275" s="23" t="s">
        <v>131</v>
      </c>
      <c r="E275" s="6" t="s">
        <v>132</v>
      </c>
      <c r="F275" s="21" t="s">
        <v>62</v>
      </c>
      <c r="G275" s="6" t="s">
        <v>256</v>
      </c>
      <c r="H275" s="22">
        <v>681.37</v>
      </c>
      <c r="I275" s="9">
        <v>25</v>
      </c>
      <c r="J275" s="22">
        <f t="shared" si="3"/>
        <v>17034.25</v>
      </c>
      <c r="K275" s="9">
        <f t="array" ref="K275">QUARTILE(IF($F$3:$F$1460=$F275,$H$3:$H$1460),1)</f>
        <v>783.15</v>
      </c>
      <c r="L275" s="9">
        <f t="array" ref="L275">QUARTILE(IF($F$3:$F$1460=$F275,$H$3:$H$1460),2)</f>
        <v>1196.3</v>
      </c>
      <c r="M275" s="9">
        <f t="array" ref="M275">QUARTILE(IF($F$3:$F$1460=$F275,$H$3:$H$1460),3)</f>
        <v>1455.5</v>
      </c>
    </row>
    <row r="276" spans="1:13" x14ac:dyDescent="0.25">
      <c r="A276" s="7">
        <v>272</v>
      </c>
      <c r="B276" s="6" t="s">
        <v>130</v>
      </c>
      <c r="C276" s="7">
        <v>4185749</v>
      </c>
      <c r="D276" s="23" t="s">
        <v>131</v>
      </c>
      <c r="E276" s="6" t="s">
        <v>132</v>
      </c>
      <c r="F276" s="21" t="s">
        <v>62</v>
      </c>
      <c r="G276" s="6" t="s">
        <v>257</v>
      </c>
      <c r="H276" s="22">
        <v>763.52</v>
      </c>
      <c r="I276" s="9">
        <v>10</v>
      </c>
      <c r="J276" s="22">
        <f t="shared" si="3"/>
        <v>7635.2</v>
      </c>
      <c r="K276" s="9">
        <f t="array" ref="K276">QUARTILE(IF($F$3:$F$1460=$F276,$H$3:$H$1460),1)</f>
        <v>783.15</v>
      </c>
      <c r="L276" s="9">
        <f t="array" ref="L276">QUARTILE(IF($F$3:$F$1460=$F276,$H$3:$H$1460),2)</f>
        <v>1196.3</v>
      </c>
      <c r="M276" s="9">
        <f t="array" ref="M276">QUARTILE(IF($F$3:$F$1460=$F276,$H$3:$H$1460),3)</f>
        <v>1455.5</v>
      </c>
    </row>
    <row r="277" spans="1:13" x14ac:dyDescent="0.25">
      <c r="A277" s="7">
        <v>273</v>
      </c>
      <c r="B277" s="6" t="s">
        <v>130</v>
      </c>
      <c r="C277" s="7">
        <v>4185749</v>
      </c>
      <c r="D277" s="23" t="s">
        <v>131</v>
      </c>
      <c r="E277" s="6" t="s">
        <v>132</v>
      </c>
      <c r="F277" s="21" t="s">
        <v>62</v>
      </c>
      <c r="G277" s="6" t="s">
        <v>258</v>
      </c>
      <c r="H277" s="22">
        <v>834.53</v>
      </c>
      <c r="I277" s="9">
        <v>10</v>
      </c>
      <c r="J277" s="22">
        <f t="shared" si="3"/>
        <v>8345.2999999999993</v>
      </c>
      <c r="K277" s="9">
        <f t="array" ref="K277">QUARTILE(IF($F$3:$F$1460=$F277,$H$3:$H$1460),1)</f>
        <v>783.15</v>
      </c>
      <c r="L277" s="9">
        <f t="array" ref="L277">QUARTILE(IF($F$3:$F$1460=$F277,$H$3:$H$1460),2)</f>
        <v>1196.3</v>
      </c>
      <c r="M277" s="9">
        <f t="array" ref="M277">QUARTILE(IF($F$3:$F$1460=$F277,$H$3:$H$1460),3)</f>
        <v>1455.5</v>
      </c>
    </row>
    <row r="278" spans="1:13" x14ac:dyDescent="0.25">
      <c r="A278" s="7">
        <v>274</v>
      </c>
      <c r="B278" s="6" t="s">
        <v>130</v>
      </c>
      <c r="C278" s="7">
        <v>4185749</v>
      </c>
      <c r="D278" s="23" t="s">
        <v>131</v>
      </c>
      <c r="E278" s="6" t="s">
        <v>132</v>
      </c>
      <c r="F278" s="21" t="s">
        <v>62</v>
      </c>
      <c r="G278" s="6" t="s">
        <v>141</v>
      </c>
      <c r="H278" s="22">
        <v>1337.11</v>
      </c>
      <c r="I278" s="9">
        <v>3</v>
      </c>
      <c r="J278" s="22">
        <f t="shared" si="3"/>
        <v>4011.33</v>
      </c>
      <c r="K278" s="9">
        <f t="array" ref="K278">QUARTILE(IF($F$3:$F$1460=$F278,$H$3:$H$1460),1)</f>
        <v>783.15</v>
      </c>
      <c r="L278" s="9">
        <f t="array" ref="L278">QUARTILE(IF($F$3:$F$1460=$F278,$H$3:$H$1460),2)</f>
        <v>1196.3</v>
      </c>
      <c r="M278" s="9">
        <f t="array" ref="M278">QUARTILE(IF($F$3:$F$1460=$F278,$H$3:$H$1460),3)</f>
        <v>1455.5</v>
      </c>
    </row>
    <row r="279" spans="1:13" x14ac:dyDescent="0.25">
      <c r="A279" s="7">
        <v>275</v>
      </c>
      <c r="B279" s="6" t="s">
        <v>130</v>
      </c>
      <c r="C279" s="7">
        <v>4185749</v>
      </c>
      <c r="D279" s="23" t="s">
        <v>131</v>
      </c>
      <c r="E279" s="6" t="s">
        <v>132</v>
      </c>
      <c r="F279" s="21" t="s">
        <v>62</v>
      </c>
      <c r="G279" s="6" t="s">
        <v>142</v>
      </c>
      <c r="H279" s="22">
        <v>1735.49</v>
      </c>
      <c r="I279" s="9">
        <v>3</v>
      </c>
      <c r="J279" s="22">
        <f t="shared" si="3"/>
        <v>5206.47</v>
      </c>
      <c r="K279" s="9">
        <f t="array" ref="K279">QUARTILE(IF($F$3:$F$1460=$F279,$H$3:$H$1460),1)</f>
        <v>783.15</v>
      </c>
      <c r="L279" s="9">
        <f t="array" ref="L279">QUARTILE(IF($F$3:$F$1460=$F279,$H$3:$H$1460),2)</f>
        <v>1196.3</v>
      </c>
      <c r="M279" s="9">
        <f t="array" ref="M279">QUARTILE(IF($F$3:$F$1460=$F279,$H$3:$H$1460),3)</f>
        <v>1455.5</v>
      </c>
    </row>
    <row r="280" spans="1:13" x14ac:dyDescent="0.25">
      <c r="A280" s="7">
        <v>276</v>
      </c>
      <c r="B280" s="6" t="s">
        <v>130</v>
      </c>
      <c r="C280" s="7">
        <v>4185749</v>
      </c>
      <c r="D280" s="23" t="s">
        <v>131</v>
      </c>
      <c r="E280" s="6" t="s">
        <v>132</v>
      </c>
      <c r="F280" s="21" t="s">
        <v>62</v>
      </c>
      <c r="G280" s="30" t="s">
        <v>143</v>
      </c>
      <c r="H280" s="22">
        <v>2075.77</v>
      </c>
      <c r="I280" s="9">
        <v>3</v>
      </c>
      <c r="J280" s="22">
        <f t="shared" si="3"/>
        <v>6227.3099999999995</v>
      </c>
      <c r="K280" s="9">
        <f t="array" ref="K280">QUARTILE(IF($F$3:$F$1460=$F280,$H$3:$H$1460),1)</f>
        <v>783.15</v>
      </c>
      <c r="L280" s="9">
        <f t="array" ref="L280">QUARTILE(IF($F$3:$F$1460=$F280,$H$3:$H$1460),2)</f>
        <v>1196.3</v>
      </c>
      <c r="M280" s="9">
        <f t="array" ref="M280">QUARTILE(IF($F$3:$F$1460=$F280,$H$3:$H$1460),3)</f>
        <v>1455.5</v>
      </c>
    </row>
    <row r="281" spans="1:13" x14ac:dyDescent="0.25">
      <c r="A281" s="7">
        <v>277</v>
      </c>
      <c r="B281" s="6" t="s">
        <v>130</v>
      </c>
      <c r="C281" s="7">
        <v>4185749</v>
      </c>
      <c r="D281" s="23" t="s">
        <v>131</v>
      </c>
      <c r="E281" s="6" t="s">
        <v>132</v>
      </c>
      <c r="F281" s="21" t="s">
        <v>50</v>
      </c>
      <c r="G281" s="30" t="s">
        <v>297</v>
      </c>
      <c r="H281" s="22">
        <v>334.25</v>
      </c>
      <c r="I281" s="9">
        <v>10</v>
      </c>
      <c r="J281" s="22">
        <f t="shared" si="3"/>
        <v>3342.5</v>
      </c>
      <c r="K281" s="9">
        <f t="array" ref="K281">QUARTILE(IF($F$3:$F$1460=$F281,$H$3:$H$1460),1)</f>
        <v>307.64999999999998</v>
      </c>
      <c r="L281" s="9">
        <f t="array" ref="L281">QUARTILE(IF($F$3:$F$1460=$F281,$H$3:$H$1460),2)</f>
        <v>533.63</v>
      </c>
      <c r="M281" s="9">
        <f t="array" ref="M281">QUARTILE(IF($F$3:$F$1460=$F281,$H$3:$H$1460),3)</f>
        <v>761.32</v>
      </c>
    </row>
    <row r="282" spans="1:13" x14ac:dyDescent="0.25">
      <c r="A282" s="7">
        <v>278</v>
      </c>
      <c r="B282" s="6" t="s">
        <v>130</v>
      </c>
      <c r="C282" s="7">
        <v>4185749</v>
      </c>
      <c r="D282" s="23" t="s">
        <v>131</v>
      </c>
      <c r="E282" s="6" t="s">
        <v>132</v>
      </c>
      <c r="F282" s="21" t="s">
        <v>50</v>
      </c>
      <c r="G282" s="6" t="s">
        <v>145</v>
      </c>
      <c r="H282" s="22">
        <v>533.63</v>
      </c>
      <c r="I282" s="9">
        <v>5</v>
      </c>
      <c r="J282" s="22">
        <f t="shared" si="3"/>
        <v>2668.15</v>
      </c>
      <c r="K282" s="9">
        <f t="array" ref="K282">QUARTILE(IF($F$3:$F$1460=$F282,$H$3:$H$1460),1)</f>
        <v>307.64999999999998</v>
      </c>
      <c r="L282" s="9">
        <f t="array" ref="L282">QUARTILE(IF($F$3:$F$1460=$F282,$H$3:$H$1460),2)</f>
        <v>533.63</v>
      </c>
      <c r="M282" s="9">
        <f t="array" ref="M282">QUARTILE(IF($F$3:$F$1460=$F282,$H$3:$H$1460),3)</f>
        <v>761.32</v>
      </c>
    </row>
    <row r="283" spans="1:13" x14ac:dyDescent="0.25">
      <c r="A283" s="7">
        <v>279</v>
      </c>
      <c r="B283" s="6" t="s">
        <v>130</v>
      </c>
      <c r="C283" s="7">
        <v>4185749</v>
      </c>
      <c r="D283" s="23" t="s">
        <v>131</v>
      </c>
      <c r="E283" s="6" t="s">
        <v>132</v>
      </c>
      <c r="F283" s="21" t="s">
        <v>50</v>
      </c>
      <c r="G283" s="6" t="s">
        <v>146</v>
      </c>
      <c r="H283" s="22">
        <v>502.71</v>
      </c>
      <c r="I283" s="9">
        <v>5</v>
      </c>
      <c r="J283" s="22">
        <f t="shared" si="3"/>
        <v>2513.5499999999997</v>
      </c>
      <c r="K283" s="9">
        <f t="array" ref="K283">QUARTILE(IF($F$3:$F$1460=$F283,$H$3:$H$1460),1)</f>
        <v>307.64999999999998</v>
      </c>
      <c r="L283" s="9">
        <f t="array" ref="L283">QUARTILE(IF($F$3:$F$1460=$F283,$H$3:$H$1460),2)</f>
        <v>533.63</v>
      </c>
      <c r="M283" s="9">
        <f t="array" ref="M283">QUARTILE(IF($F$3:$F$1460=$F283,$H$3:$H$1460),3)</f>
        <v>761.32</v>
      </c>
    </row>
    <row r="284" spans="1:13" x14ac:dyDescent="0.25">
      <c r="A284" s="7">
        <v>280</v>
      </c>
      <c r="B284" s="6" t="s">
        <v>130</v>
      </c>
      <c r="C284" s="7">
        <v>4185749</v>
      </c>
      <c r="D284" s="23" t="s">
        <v>131</v>
      </c>
      <c r="E284" s="6" t="s">
        <v>132</v>
      </c>
      <c r="F284" s="21" t="s">
        <v>50</v>
      </c>
      <c r="G284" s="6" t="s">
        <v>147</v>
      </c>
      <c r="H284" s="22">
        <v>761.32</v>
      </c>
      <c r="I284" s="9">
        <v>5</v>
      </c>
      <c r="J284" s="22">
        <f t="shared" si="3"/>
        <v>3806.6000000000004</v>
      </c>
      <c r="K284" s="9">
        <f t="array" ref="K284">QUARTILE(IF($F$3:$F$1460=$F284,$H$3:$H$1460),1)</f>
        <v>307.64999999999998</v>
      </c>
      <c r="L284" s="9">
        <f t="array" ref="L284">QUARTILE(IF($F$3:$F$1460=$F284,$H$3:$H$1460),2)</f>
        <v>533.63</v>
      </c>
      <c r="M284" s="9">
        <f t="array" ref="M284">QUARTILE(IF($F$3:$F$1460=$F284,$H$3:$H$1460),3)</f>
        <v>761.32</v>
      </c>
    </row>
    <row r="285" spans="1:13" x14ac:dyDescent="0.25">
      <c r="A285" s="7">
        <v>281</v>
      </c>
      <c r="B285" s="6" t="s">
        <v>130</v>
      </c>
      <c r="C285" s="7">
        <v>4185749</v>
      </c>
      <c r="D285" s="23" t="s">
        <v>131</v>
      </c>
      <c r="E285" s="6" t="s">
        <v>132</v>
      </c>
      <c r="F285" s="21" t="s">
        <v>60</v>
      </c>
      <c r="G285" s="45" t="s">
        <v>148</v>
      </c>
      <c r="H285" s="22">
        <v>573.16</v>
      </c>
      <c r="I285" s="9">
        <v>30</v>
      </c>
      <c r="J285" s="22">
        <f t="shared" si="3"/>
        <v>17194.8</v>
      </c>
      <c r="K285" s="9">
        <f t="array" ref="K285">QUARTILE(IF($F$3:$F$1460=$F285,$H$3:$H$1460),1)</f>
        <v>680</v>
      </c>
      <c r="L285" s="9">
        <f t="array" ref="L285">QUARTILE(IF($F$3:$F$1460=$F285,$H$3:$H$1460),2)</f>
        <v>991</v>
      </c>
      <c r="M285" s="9">
        <f t="array" ref="M285">QUARTILE(IF($F$3:$F$1460=$F285,$H$3:$H$1460),3)</f>
        <v>1485.8333333333335</v>
      </c>
    </row>
    <row r="286" spans="1:13" x14ac:dyDescent="0.25">
      <c r="A286" s="7">
        <v>282</v>
      </c>
      <c r="B286" s="6" t="s">
        <v>130</v>
      </c>
      <c r="C286" s="7">
        <v>4185749</v>
      </c>
      <c r="D286" s="23" t="s">
        <v>131</v>
      </c>
      <c r="E286" s="6" t="s">
        <v>132</v>
      </c>
      <c r="F286" s="21" t="s">
        <v>60</v>
      </c>
      <c r="G286" s="45" t="s">
        <v>149</v>
      </c>
      <c r="H286" s="22">
        <v>638.66</v>
      </c>
      <c r="I286" s="9">
        <v>50</v>
      </c>
      <c r="J286" s="22">
        <f t="shared" si="3"/>
        <v>31933</v>
      </c>
      <c r="K286" s="9">
        <f t="array" ref="K286">QUARTILE(IF($F$3:$F$1460=$F286,$H$3:$H$1460),1)</f>
        <v>680</v>
      </c>
      <c r="L286" s="9">
        <f t="array" ref="L286">QUARTILE(IF($F$3:$F$1460=$F286,$H$3:$H$1460),2)</f>
        <v>991</v>
      </c>
      <c r="M286" s="9">
        <f t="array" ref="M286">QUARTILE(IF($F$3:$F$1460=$F286,$H$3:$H$1460),3)</f>
        <v>1485.8333333333335</v>
      </c>
    </row>
    <row r="287" spans="1:13" x14ac:dyDescent="0.25">
      <c r="A287" s="7">
        <v>283</v>
      </c>
      <c r="B287" s="6" t="s">
        <v>130</v>
      </c>
      <c r="C287" s="7">
        <v>4185749</v>
      </c>
      <c r="D287" s="23" t="s">
        <v>131</v>
      </c>
      <c r="E287" s="6" t="s">
        <v>132</v>
      </c>
      <c r="F287" s="21" t="s">
        <v>60</v>
      </c>
      <c r="G287" s="45" t="s">
        <v>150</v>
      </c>
      <c r="H287" s="22">
        <v>736.35</v>
      </c>
      <c r="I287" s="9">
        <v>30</v>
      </c>
      <c r="J287" s="22">
        <f t="shared" si="3"/>
        <v>22090.5</v>
      </c>
      <c r="K287" s="9">
        <f t="array" ref="K287">QUARTILE(IF($F$3:$F$1460=$F287,$H$3:$H$1460),1)</f>
        <v>680</v>
      </c>
      <c r="L287" s="9">
        <f t="array" ref="L287">QUARTILE(IF($F$3:$F$1460=$F287,$H$3:$H$1460),2)</f>
        <v>991</v>
      </c>
      <c r="M287" s="9">
        <f t="array" ref="M287">QUARTILE(IF($F$3:$F$1460=$F287,$H$3:$H$1460),3)</f>
        <v>1485.8333333333335</v>
      </c>
    </row>
    <row r="288" spans="1:13" x14ac:dyDescent="0.25">
      <c r="A288" s="7">
        <v>284</v>
      </c>
      <c r="B288" s="6" t="s">
        <v>130</v>
      </c>
      <c r="C288" s="7">
        <v>4185749</v>
      </c>
      <c r="D288" s="23" t="s">
        <v>131</v>
      </c>
      <c r="E288" s="6" t="s">
        <v>132</v>
      </c>
      <c r="F288" s="21" t="s">
        <v>60</v>
      </c>
      <c r="G288" s="45" t="s">
        <v>151</v>
      </c>
      <c r="H288" s="22">
        <v>990.64</v>
      </c>
      <c r="I288" s="9">
        <v>20</v>
      </c>
      <c r="J288" s="22">
        <f t="shared" si="3"/>
        <v>19812.8</v>
      </c>
      <c r="K288" s="9">
        <f t="array" ref="K288">QUARTILE(IF($F$3:$F$1460=$F288,$H$3:$H$1460),1)</f>
        <v>680</v>
      </c>
      <c r="L288" s="9">
        <f t="array" ref="L288">QUARTILE(IF($F$3:$F$1460=$F288,$H$3:$H$1460),2)</f>
        <v>991</v>
      </c>
      <c r="M288" s="9">
        <f t="array" ref="M288">QUARTILE(IF($F$3:$F$1460=$F288,$H$3:$H$1460),3)</f>
        <v>1485.8333333333335</v>
      </c>
    </row>
    <row r="289" spans="1:13" x14ac:dyDescent="0.25">
      <c r="A289" s="7">
        <v>285</v>
      </c>
      <c r="B289" s="6" t="s">
        <v>130</v>
      </c>
      <c r="C289" s="7">
        <v>4185749</v>
      </c>
      <c r="D289" s="23" t="s">
        <v>131</v>
      </c>
      <c r="E289" s="6" t="s">
        <v>132</v>
      </c>
      <c r="F289" s="21" t="s">
        <v>60</v>
      </c>
      <c r="G289" s="45" t="s">
        <v>152</v>
      </c>
      <c r="H289" s="22">
        <v>981.75</v>
      </c>
      <c r="I289" s="9">
        <v>20</v>
      </c>
      <c r="J289" s="22">
        <f t="shared" si="3"/>
        <v>19635</v>
      </c>
      <c r="K289" s="9">
        <f t="array" ref="K289">QUARTILE(IF($F$3:$F$1460=$F289,$H$3:$H$1460),1)</f>
        <v>680</v>
      </c>
      <c r="L289" s="9">
        <f t="array" ref="L289">QUARTILE(IF($F$3:$F$1460=$F289,$H$3:$H$1460),2)</f>
        <v>991</v>
      </c>
      <c r="M289" s="9">
        <f t="array" ref="M289">QUARTILE(IF($F$3:$F$1460=$F289,$H$3:$H$1460),3)</f>
        <v>1485.8333333333335</v>
      </c>
    </row>
    <row r="290" spans="1:13" x14ac:dyDescent="0.25">
      <c r="A290" s="7">
        <v>286</v>
      </c>
      <c r="B290" s="6" t="s">
        <v>130</v>
      </c>
      <c r="C290" s="7">
        <v>4185749</v>
      </c>
      <c r="D290" s="23" t="s">
        <v>131</v>
      </c>
      <c r="E290" s="6" t="s">
        <v>132</v>
      </c>
      <c r="F290" s="21" t="s">
        <v>60</v>
      </c>
      <c r="G290" s="45" t="s">
        <v>153</v>
      </c>
      <c r="H290" s="22">
        <v>1298.1600000000001</v>
      </c>
      <c r="I290" s="9">
        <v>20</v>
      </c>
      <c r="J290" s="22">
        <f t="shared" si="3"/>
        <v>25963.200000000001</v>
      </c>
      <c r="K290" s="9">
        <f t="array" ref="K290">QUARTILE(IF($F$3:$F$1460=$F290,$H$3:$H$1460),1)</f>
        <v>680</v>
      </c>
      <c r="L290" s="9">
        <f t="array" ref="L290">QUARTILE(IF($F$3:$F$1460=$F290,$H$3:$H$1460),2)</f>
        <v>991</v>
      </c>
      <c r="M290" s="9">
        <f t="array" ref="M290">QUARTILE(IF($F$3:$F$1460=$F290,$H$3:$H$1460),3)</f>
        <v>1485.8333333333335</v>
      </c>
    </row>
    <row r="291" spans="1:13" x14ac:dyDescent="0.25">
      <c r="A291" s="7">
        <v>287</v>
      </c>
      <c r="B291" s="6" t="s">
        <v>130</v>
      </c>
      <c r="C291" s="7">
        <v>4185749</v>
      </c>
      <c r="D291" s="23" t="s">
        <v>131</v>
      </c>
      <c r="E291" s="6" t="s">
        <v>132</v>
      </c>
      <c r="F291" s="21" t="s">
        <v>60</v>
      </c>
      <c r="G291" s="45" t="s">
        <v>154</v>
      </c>
      <c r="H291" s="22">
        <v>628.66</v>
      </c>
      <c r="I291" s="9">
        <v>20</v>
      </c>
      <c r="J291" s="22">
        <f t="shared" si="3"/>
        <v>12573.199999999999</v>
      </c>
      <c r="K291" s="9">
        <f t="array" ref="K291">QUARTILE(IF($F$3:$F$1460=$F291,$H$3:$H$1460),1)</f>
        <v>680</v>
      </c>
      <c r="L291" s="9">
        <f t="array" ref="L291">QUARTILE(IF($F$3:$F$1460=$F291,$H$3:$H$1460),2)</f>
        <v>991</v>
      </c>
      <c r="M291" s="9">
        <f t="array" ref="M291">QUARTILE(IF($F$3:$F$1460=$F291,$H$3:$H$1460),3)</f>
        <v>1485.8333333333335</v>
      </c>
    </row>
    <row r="292" spans="1:13" x14ac:dyDescent="0.25">
      <c r="A292" s="7">
        <v>288</v>
      </c>
      <c r="B292" s="6" t="s">
        <v>130</v>
      </c>
      <c r="C292" s="7">
        <v>4185749</v>
      </c>
      <c r="D292" s="23" t="s">
        <v>131</v>
      </c>
      <c r="E292" s="6" t="s">
        <v>132</v>
      </c>
      <c r="F292" s="21" t="s">
        <v>60</v>
      </c>
      <c r="G292" s="45" t="s">
        <v>155</v>
      </c>
      <c r="H292" s="22">
        <v>744.13</v>
      </c>
      <c r="I292" s="9">
        <v>10</v>
      </c>
      <c r="J292" s="22">
        <f t="shared" si="3"/>
        <v>7441.3</v>
      </c>
      <c r="K292" s="9">
        <f t="array" ref="K292">QUARTILE(IF($F$3:$F$1460=$F292,$H$3:$H$1460),1)</f>
        <v>680</v>
      </c>
      <c r="L292" s="9">
        <f t="array" ref="L292">QUARTILE(IF($F$3:$F$1460=$F292,$H$3:$H$1460),2)</f>
        <v>991</v>
      </c>
      <c r="M292" s="9">
        <f t="array" ref="M292">QUARTILE(IF($F$3:$F$1460=$F292,$H$3:$H$1460),3)</f>
        <v>1485.8333333333335</v>
      </c>
    </row>
    <row r="293" spans="1:13" x14ac:dyDescent="0.25">
      <c r="A293" s="7">
        <v>289</v>
      </c>
      <c r="B293" s="6" t="s">
        <v>130</v>
      </c>
      <c r="C293" s="7">
        <v>4185749</v>
      </c>
      <c r="D293" s="23" t="s">
        <v>131</v>
      </c>
      <c r="E293" s="6" t="s">
        <v>132</v>
      </c>
      <c r="F293" s="21" t="s">
        <v>60</v>
      </c>
      <c r="G293" s="71" t="s">
        <v>156</v>
      </c>
      <c r="H293" s="22">
        <v>1298.17</v>
      </c>
      <c r="I293" s="9">
        <v>10</v>
      </c>
      <c r="J293" s="22">
        <f t="shared" si="3"/>
        <v>12981.7</v>
      </c>
      <c r="K293" s="9">
        <f t="array" ref="K293">QUARTILE(IF($F$3:$F$1460=$F293,$H$3:$H$1460),1)</f>
        <v>680</v>
      </c>
      <c r="L293" s="9">
        <f t="array" ref="L293">QUARTILE(IF($F$3:$F$1460=$F293,$H$3:$H$1460),2)</f>
        <v>991</v>
      </c>
      <c r="M293" s="9">
        <f t="array" ref="M293">QUARTILE(IF($F$3:$F$1460=$F293,$H$3:$H$1460),3)</f>
        <v>1485.8333333333335</v>
      </c>
    </row>
    <row r="294" spans="1:13" x14ac:dyDescent="0.25">
      <c r="A294" s="7">
        <v>290</v>
      </c>
      <c r="B294" s="6" t="s">
        <v>130</v>
      </c>
      <c r="C294" s="7">
        <v>4185749</v>
      </c>
      <c r="D294" s="23" t="s">
        <v>131</v>
      </c>
      <c r="E294" s="6" t="s">
        <v>132</v>
      </c>
      <c r="F294" s="21" t="s">
        <v>60</v>
      </c>
      <c r="G294" s="45" t="s">
        <v>157</v>
      </c>
      <c r="H294" s="22">
        <v>1524.62</v>
      </c>
      <c r="I294" s="9">
        <v>10</v>
      </c>
      <c r="J294" s="22">
        <f t="shared" si="3"/>
        <v>15246.199999999999</v>
      </c>
      <c r="K294" s="9">
        <f t="array" ref="K294">QUARTILE(IF($F$3:$F$1460=$F294,$H$3:$H$1460),1)</f>
        <v>680</v>
      </c>
      <c r="L294" s="9">
        <f t="array" ref="L294">QUARTILE(IF($F$3:$F$1460=$F294,$H$3:$H$1460),2)</f>
        <v>991</v>
      </c>
      <c r="M294" s="9">
        <f t="array" ref="M294">QUARTILE(IF($F$3:$F$1460=$F294,$H$3:$H$1460),3)</f>
        <v>1485.8333333333335</v>
      </c>
    </row>
    <row r="295" spans="1:13" x14ac:dyDescent="0.25">
      <c r="A295" s="7">
        <v>291</v>
      </c>
      <c r="B295" s="6" t="s">
        <v>130</v>
      </c>
      <c r="C295" s="7">
        <v>4185749</v>
      </c>
      <c r="D295" s="23" t="s">
        <v>131</v>
      </c>
      <c r="E295" s="6" t="s">
        <v>132</v>
      </c>
      <c r="F295" s="21" t="s">
        <v>60</v>
      </c>
      <c r="G295" s="45" t="s">
        <v>298</v>
      </c>
      <c r="H295" s="22">
        <v>937.35</v>
      </c>
      <c r="I295" s="9">
        <v>6</v>
      </c>
      <c r="J295" s="22">
        <f t="shared" si="3"/>
        <v>5624.1</v>
      </c>
      <c r="K295" s="9">
        <f t="array" ref="K295">QUARTILE(IF($F$3:$F$1460=$F295,$H$3:$H$1460),1)</f>
        <v>680</v>
      </c>
      <c r="L295" s="9">
        <f t="array" ref="L295">QUARTILE(IF($F$3:$F$1460=$F295,$H$3:$H$1460),2)</f>
        <v>991</v>
      </c>
      <c r="M295" s="9">
        <f t="array" ref="M295">QUARTILE(IF($F$3:$F$1460=$F295,$H$3:$H$1460),3)</f>
        <v>1485.8333333333335</v>
      </c>
    </row>
    <row r="296" spans="1:13" x14ac:dyDescent="0.25">
      <c r="A296" s="7">
        <v>292</v>
      </c>
      <c r="B296" s="6" t="s">
        <v>130</v>
      </c>
      <c r="C296" s="7">
        <v>4185749</v>
      </c>
      <c r="D296" s="23" t="s">
        <v>131</v>
      </c>
      <c r="E296" s="6" t="s">
        <v>132</v>
      </c>
      <c r="F296" s="21" t="s">
        <v>60</v>
      </c>
      <c r="G296" s="45" t="s">
        <v>299</v>
      </c>
      <c r="H296" s="22">
        <v>1559.04</v>
      </c>
      <c r="I296" s="9">
        <v>4</v>
      </c>
      <c r="J296" s="22">
        <f t="shared" si="3"/>
        <v>6236.16</v>
      </c>
      <c r="K296" s="9">
        <f t="array" ref="K296">QUARTILE(IF($F$3:$F$1460=$F296,$H$3:$H$1460),1)</f>
        <v>680</v>
      </c>
      <c r="L296" s="9">
        <f t="array" ref="L296">QUARTILE(IF($F$3:$F$1460=$F296,$H$3:$H$1460),2)</f>
        <v>991</v>
      </c>
      <c r="M296" s="9">
        <f t="array" ref="M296">QUARTILE(IF($F$3:$F$1460=$F296,$H$3:$H$1460),3)</f>
        <v>1485.8333333333335</v>
      </c>
    </row>
    <row r="297" spans="1:13" x14ac:dyDescent="0.25">
      <c r="A297" s="7">
        <v>293</v>
      </c>
      <c r="B297" s="6" t="s">
        <v>130</v>
      </c>
      <c r="C297" s="7">
        <v>4185749</v>
      </c>
      <c r="D297" s="23" t="s">
        <v>131</v>
      </c>
      <c r="E297" s="6" t="s">
        <v>132</v>
      </c>
      <c r="F297" s="21" t="s">
        <v>60</v>
      </c>
      <c r="G297" s="45" t="s">
        <v>300</v>
      </c>
      <c r="H297" s="22">
        <v>2202.9299999999998</v>
      </c>
      <c r="I297" s="9">
        <v>3</v>
      </c>
      <c r="J297" s="22">
        <f t="shared" si="3"/>
        <v>6608.7899999999991</v>
      </c>
      <c r="K297" s="9">
        <f t="array" ref="K297">QUARTILE(IF($F$3:$F$1460=$F297,$H$3:$H$1460),1)</f>
        <v>680</v>
      </c>
      <c r="L297" s="9">
        <f t="array" ref="L297">QUARTILE(IF($F$3:$F$1460=$F297,$H$3:$H$1460),2)</f>
        <v>991</v>
      </c>
      <c r="M297" s="9">
        <f t="array" ref="M297">QUARTILE(IF($F$3:$F$1460=$F297,$H$3:$H$1460),3)</f>
        <v>1485.8333333333335</v>
      </c>
    </row>
    <row r="298" spans="1:13" x14ac:dyDescent="0.25">
      <c r="A298" s="7">
        <v>294</v>
      </c>
      <c r="B298" s="6" t="s">
        <v>130</v>
      </c>
      <c r="C298" s="7">
        <v>4185749</v>
      </c>
      <c r="D298" s="23" t="s">
        <v>131</v>
      </c>
      <c r="E298" s="6" t="s">
        <v>132</v>
      </c>
      <c r="F298" s="21" t="s">
        <v>44</v>
      </c>
      <c r="G298" s="45" t="s">
        <v>161</v>
      </c>
      <c r="H298" s="22">
        <v>63.52</v>
      </c>
      <c r="I298" s="9">
        <v>50</v>
      </c>
      <c r="J298" s="22">
        <f t="shared" si="3"/>
        <v>3176</v>
      </c>
      <c r="K298" s="9">
        <f t="array" ref="K298">QUARTILE(IF($F$3:$F$1460=$F298,$H$3:$H$1460),1)</f>
        <v>141.67500000000001</v>
      </c>
      <c r="L298" s="9">
        <f t="array" ref="L298">QUARTILE(IF($F$3:$F$1460=$F298,$H$3:$H$1460),2)</f>
        <v>194</v>
      </c>
      <c r="M298" s="9">
        <f t="array" ref="M298">QUARTILE(IF($F$3:$F$1460=$F298,$H$3:$H$1460),3)</f>
        <v>266.75</v>
      </c>
    </row>
    <row r="299" spans="1:13" x14ac:dyDescent="0.25">
      <c r="A299" s="7">
        <v>295</v>
      </c>
      <c r="B299" s="6" t="s">
        <v>130</v>
      </c>
      <c r="C299" s="7">
        <v>4185749</v>
      </c>
      <c r="D299" s="23" t="s">
        <v>131</v>
      </c>
      <c r="E299" s="6" t="s">
        <v>132</v>
      </c>
      <c r="F299" s="21" t="s">
        <v>44</v>
      </c>
      <c r="G299" s="45" t="s">
        <v>162</v>
      </c>
      <c r="H299" s="22">
        <v>89.71</v>
      </c>
      <c r="I299" s="9">
        <v>100</v>
      </c>
      <c r="J299" s="22">
        <f t="shared" si="3"/>
        <v>8971</v>
      </c>
      <c r="K299" s="9">
        <f t="array" ref="K299">QUARTILE(IF($F$3:$F$1460=$F299,$H$3:$H$1460),1)</f>
        <v>141.67500000000001</v>
      </c>
      <c r="L299" s="9">
        <f t="array" ref="L299">QUARTILE(IF($F$3:$F$1460=$F299,$H$3:$H$1460),2)</f>
        <v>194</v>
      </c>
      <c r="M299" s="9">
        <f t="array" ref="M299">QUARTILE(IF($F$3:$F$1460=$F299,$H$3:$H$1460),3)</f>
        <v>266.75</v>
      </c>
    </row>
    <row r="300" spans="1:13" x14ac:dyDescent="0.25">
      <c r="A300" s="7">
        <v>296</v>
      </c>
      <c r="B300" s="6" t="s">
        <v>130</v>
      </c>
      <c r="C300" s="7">
        <v>4185749</v>
      </c>
      <c r="D300" s="23" t="s">
        <v>131</v>
      </c>
      <c r="E300" s="6" t="s">
        <v>132</v>
      </c>
      <c r="F300" s="21" t="s">
        <v>44</v>
      </c>
      <c r="G300" s="45" t="s">
        <v>163</v>
      </c>
      <c r="H300" s="22">
        <v>123</v>
      </c>
      <c r="I300" s="9">
        <v>50</v>
      </c>
      <c r="J300" s="22">
        <f t="shared" si="3"/>
        <v>6150</v>
      </c>
      <c r="K300" s="9">
        <f t="array" ref="K300">QUARTILE(IF($F$3:$F$1460=$F300,$H$3:$H$1460),1)</f>
        <v>141.67500000000001</v>
      </c>
      <c r="L300" s="9">
        <f t="array" ref="L300">QUARTILE(IF($F$3:$F$1460=$F300,$H$3:$H$1460),2)</f>
        <v>194</v>
      </c>
      <c r="M300" s="9">
        <f t="array" ref="M300">QUARTILE(IF($F$3:$F$1460=$F300,$H$3:$H$1460),3)</f>
        <v>266.75</v>
      </c>
    </row>
    <row r="301" spans="1:13" x14ac:dyDescent="0.25">
      <c r="A301" s="7">
        <v>297</v>
      </c>
      <c r="B301" s="6" t="s">
        <v>130</v>
      </c>
      <c r="C301" s="7">
        <v>4185749</v>
      </c>
      <c r="D301" s="23" t="s">
        <v>131</v>
      </c>
      <c r="E301" s="6" t="s">
        <v>132</v>
      </c>
      <c r="F301" s="21" t="s">
        <v>44</v>
      </c>
      <c r="G301" s="45" t="s">
        <v>164</v>
      </c>
      <c r="H301" s="22">
        <v>166.02</v>
      </c>
      <c r="I301" s="9">
        <v>30</v>
      </c>
      <c r="J301" s="22">
        <f t="shared" si="3"/>
        <v>4980.6000000000004</v>
      </c>
      <c r="K301" s="9">
        <f t="array" ref="K301">QUARTILE(IF($F$3:$F$1460=$F301,$H$3:$H$1460),1)</f>
        <v>141.67500000000001</v>
      </c>
      <c r="L301" s="9">
        <f t="array" ref="L301">QUARTILE(IF($F$3:$F$1460=$F301,$H$3:$H$1460),2)</f>
        <v>194</v>
      </c>
      <c r="M301" s="9">
        <f t="array" ref="M301">QUARTILE(IF($F$3:$F$1460=$F301,$H$3:$H$1460),3)</f>
        <v>266.75</v>
      </c>
    </row>
    <row r="302" spans="1:13" x14ac:dyDescent="0.25">
      <c r="A302" s="7">
        <v>298</v>
      </c>
      <c r="B302" s="6" t="s">
        <v>130</v>
      </c>
      <c r="C302" s="7">
        <v>4185749</v>
      </c>
      <c r="D302" s="23" t="s">
        <v>131</v>
      </c>
      <c r="E302" s="6" t="s">
        <v>132</v>
      </c>
      <c r="F302" s="21" t="s">
        <v>44</v>
      </c>
      <c r="G302" s="45" t="s">
        <v>165</v>
      </c>
      <c r="H302" s="22">
        <v>289.02</v>
      </c>
      <c r="I302" s="9">
        <v>10</v>
      </c>
      <c r="J302" s="22">
        <f t="shared" si="3"/>
        <v>2890.2</v>
      </c>
      <c r="K302" s="9">
        <f t="array" ref="K302">QUARTILE(IF($F$3:$F$1460=$F302,$H$3:$H$1460),1)</f>
        <v>141.67500000000001</v>
      </c>
      <c r="L302" s="9">
        <f t="array" ref="L302">QUARTILE(IF($F$3:$F$1460=$F302,$H$3:$H$1460),2)</f>
        <v>194</v>
      </c>
      <c r="M302" s="9">
        <f t="array" ref="M302">QUARTILE(IF($F$3:$F$1460=$F302,$H$3:$H$1460),3)</f>
        <v>266.75</v>
      </c>
    </row>
    <row r="303" spans="1:13" x14ac:dyDescent="0.25">
      <c r="A303" s="7">
        <v>299</v>
      </c>
      <c r="B303" s="6" t="s">
        <v>130</v>
      </c>
      <c r="C303" s="7">
        <v>4185749</v>
      </c>
      <c r="D303" s="23" t="s">
        <v>131</v>
      </c>
      <c r="E303" s="6" t="s">
        <v>132</v>
      </c>
      <c r="F303" s="21" t="s">
        <v>44</v>
      </c>
      <c r="G303" s="45" t="s">
        <v>166</v>
      </c>
      <c r="H303" s="22">
        <v>454.16</v>
      </c>
      <c r="I303" s="9">
        <v>10</v>
      </c>
      <c r="J303" s="22">
        <f t="shared" si="3"/>
        <v>4541.6000000000004</v>
      </c>
      <c r="K303" s="9">
        <f t="array" ref="K303">QUARTILE(IF($F$3:$F$1460=$F303,$H$3:$H$1460),1)</f>
        <v>141.67500000000001</v>
      </c>
      <c r="L303" s="9">
        <f t="array" ref="L303">QUARTILE(IF($F$3:$F$1460=$F303,$H$3:$H$1460),2)</f>
        <v>194</v>
      </c>
      <c r="M303" s="9">
        <f t="array" ref="M303">QUARTILE(IF($F$3:$F$1460=$F303,$H$3:$H$1460),3)</f>
        <v>266.75</v>
      </c>
    </row>
    <row r="304" spans="1:13" x14ac:dyDescent="0.25">
      <c r="A304" s="7">
        <v>300</v>
      </c>
      <c r="B304" s="6" t="s">
        <v>130</v>
      </c>
      <c r="C304" s="7">
        <v>4185749</v>
      </c>
      <c r="D304" s="23" t="s">
        <v>131</v>
      </c>
      <c r="E304" s="6" t="s">
        <v>132</v>
      </c>
      <c r="F304" s="21" t="s">
        <v>46</v>
      </c>
      <c r="G304" s="45" t="s">
        <v>167</v>
      </c>
      <c r="H304" s="22">
        <v>74.599999999999994</v>
      </c>
      <c r="I304" s="9">
        <v>10</v>
      </c>
      <c r="J304" s="22">
        <f t="shared" si="3"/>
        <v>746</v>
      </c>
      <c r="K304" s="9">
        <f t="array" ref="K304">QUARTILE(IF($F$3:$F$1460=$F304,$H$3:$H$1460),1)</f>
        <v>229.78</v>
      </c>
      <c r="L304" s="9">
        <f t="array" ref="L304">QUARTILE(IF($F$3:$F$1460=$F304,$H$3:$H$1460),2)</f>
        <v>424.2</v>
      </c>
      <c r="M304" s="9">
        <f t="array" ref="M304">QUARTILE(IF($F$3:$F$1460=$F304,$H$3:$H$1460),3)</f>
        <v>1030.3</v>
      </c>
    </row>
    <row r="305" spans="1:13" x14ac:dyDescent="0.25">
      <c r="A305" s="7">
        <v>301</v>
      </c>
      <c r="B305" s="6" t="s">
        <v>130</v>
      </c>
      <c r="C305" s="7">
        <v>4185749</v>
      </c>
      <c r="D305" s="23" t="s">
        <v>131</v>
      </c>
      <c r="E305" s="6" t="s">
        <v>132</v>
      </c>
      <c r="F305" s="21" t="s">
        <v>46</v>
      </c>
      <c r="G305" s="45" t="s">
        <v>168</v>
      </c>
      <c r="H305" s="22">
        <v>229.78</v>
      </c>
      <c r="I305" s="9">
        <v>10</v>
      </c>
      <c r="J305" s="22">
        <f t="shared" si="3"/>
        <v>2297.8000000000002</v>
      </c>
      <c r="K305" s="9">
        <f t="array" ref="K305">QUARTILE(IF($F$3:$F$1460=$F305,$H$3:$H$1460),1)</f>
        <v>229.78</v>
      </c>
      <c r="L305" s="9">
        <f t="array" ref="L305">QUARTILE(IF($F$3:$F$1460=$F305,$H$3:$H$1460),2)</f>
        <v>424.2</v>
      </c>
      <c r="M305" s="9">
        <f t="array" ref="M305">QUARTILE(IF($F$3:$F$1460=$F305,$H$3:$H$1460),3)</f>
        <v>1030.3</v>
      </c>
    </row>
    <row r="306" spans="1:13" x14ac:dyDescent="0.25">
      <c r="A306" s="7">
        <v>302</v>
      </c>
      <c r="B306" s="6" t="s">
        <v>130</v>
      </c>
      <c r="C306" s="7">
        <v>4185749</v>
      </c>
      <c r="D306" s="23" t="s">
        <v>131</v>
      </c>
      <c r="E306" s="6" t="s">
        <v>132</v>
      </c>
      <c r="F306" s="21" t="s">
        <v>46</v>
      </c>
      <c r="G306" s="45" t="s">
        <v>169</v>
      </c>
      <c r="H306" s="22">
        <v>138.54</v>
      </c>
      <c r="I306" s="9">
        <v>10</v>
      </c>
      <c r="J306" s="22">
        <f t="shared" si="3"/>
        <v>1385.3999999999999</v>
      </c>
      <c r="K306" s="9">
        <f t="array" ref="K306">QUARTILE(IF($F$3:$F$1460=$F306,$H$3:$H$1460),1)</f>
        <v>229.78</v>
      </c>
      <c r="L306" s="9">
        <f t="array" ref="L306">QUARTILE(IF($F$3:$F$1460=$F306,$H$3:$H$1460),2)</f>
        <v>424.2</v>
      </c>
      <c r="M306" s="9">
        <f t="array" ref="M306">QUARTILE(IF($F$3:$F$1460=$F306,$H$3:$H$1460),3)</f>
        <v>1030.3</v>
      </c>
    </row>
    <row r="307" spans="1:13" x14ac:dyDescent="0.25">
      <c r="A307" s="7">
        <v>303</v>
      </c>
      <c r="B307" s="6" t="s">
        <v>130</v>
      </c>
      <c r="C307" s="7">
        <v>4185749</v>
      </c>
      <c r="D307" s="23" t="s">
        <v>131</v>
      </c>
      <c r="E307" s="6" t="s">
        <v>132</v>
      </c>
      <c r="F307" s="21" t="s">
        <v>46</v>
      </c>
      <c r="G307" s="45" t="s">
        <v>170</v>
      </c>
      <c r="H307" s="22">
        <v>624.16999999999996</v>
      </c>
      <c r="I307" s="9">
        <v>2</v>
      </c>
      <c r="J307" s="22">
        <f t="shared" si="3"/>
        <v>1248.3399999999999</v>
      </c>
      <c r="K307" s="9">
        <f t="array" ref="K307">QUARTILE(IF($F$3:$F$1460=$F307,$H$3:$H$1460),1)</f>
        <v>229.78</v>
      </c>
      <c r="L307" s="9">
        <f t="array" ref="L307">QUARTILE(IF($F$3:$F$1460=$F307,$H$3:$H$1460),2)</f>
        <v>424.2</v>
      </c>
      <c r="M307" s="9">
        <f t="array" ref="M307">QUARTILE(IF($F$3:$F$1460=$F307,$H$3:$H$1460),3)</f>
        <v>1030.3</v>
      </c>
    </row>
    <row r="308" spans="1:13" x14ac:dyDescent="0.25">
      <c r="A308" s="7">
        <v>304</v>
      </c>
      <c r="B308" s="6" t="s">
        <v>130</v>
      </c>
      <c r="C308" s="7">
        <v>4185749</v>
      </c>
      <c r="D308" s="23" t="s">
        <v>131</v>
      </c>
      <c r="E308" s="6" t="s">
        <v>132</v>
      </c>
      <c r="F308" s="21" t="s">
        <v>46</v>
      </c>
      <c r="G308" s="45" t="s">
        <v>171</v>
      </c>
      <c r="H308" s="22">
        <v>285.97000000000003</v>
      </c>
      <c r="I308" s="9">
        <v>10</v>
      </c>
      <c r="J308" s="22">
        <f t="shared" si="3"/>
        <v>2859.7000000000003</v>
      </c>
      <c r="K308" s="9">
        <f t="array" ref="K308">QUARTILE(IF($F$3:$F$1460=$F308,$H$3:$H$1460),1)</f>
        <v>229.78</v>
      </c>
      <c r="L308" s="9">
        <f t="array" ref="L308">QUARTILE(IF($F$3:$F$1460=$F308,$H$3:$H$1460),2)</f>
        <v>424.2</v>
      </c>
      <c r="M308" s="9">
        <f t="array" ref="M308">QUARTILE(IF($F$3:$F$1460=$F308,$H$3:$H$1460),3)</f>
        <v>1030.3</v>
      </c>
    </row>
    <row r="309" spans="1:13" x14ac:dyDescent="0.25">
      <c r="A309" s="7">
        <v>305</v>
      </c>
      <c r="B309" s="6" t="s">
        <v>130</v>
      </c>
      <c r="C309" s="7">
        <v>4185749</v>
      </c>
      <c r="D309" s="23" t="s">
        <v>131</v>
      </c>
      <c r="E309" s="6" t="s">
        <v>132</v>
      </c>
      <c r="F309" s="21" t="s">
        <v>46</v>
      </c>
      <c r="G309" s="45" t="s">
        <v>267</v>
      </c>
      <c r="H309" s="22">
        <v>541.30999999999995</v>
      </c>
      <c r="I309" s="9">
        <v>6</v>
      </c>
      <c r="J309" s="22">
        <f t="shared" si="3"/>
        <v>3247.8599999999997</v>
      </c>
      <c r="K309" s="9">
        <f t="array" ref="K309">QUARTILE(IF($F$3:$F$1460=$F309,$H$3:$H$1460),1)</f>
        <v>229.78</v>
      </c>
      <c r="L309" s="9">
        <f t="array" ref="L309">QUARTILE(IF($F$3:$F$1460=$F309,$H$3:$H$1460),2)</f>
        <v>424.2</v>
      </c>
      <c r="M309" s="9">
        <f t="array" ref="M309">QUARTILE(IF($F$3:$F$1460=$F309,$H$3:$H$1460),3)</f>
        <v>1030.3</v>
      </c>
    </row>
    <row r="310" spans="1:13" x14ac:dyDescent="0.25">
      <c r="A310" s="7">
        <v>306</v>
      </c>
      <c r="B310" s="6" t="s">
        <v>130</v>
      </c>
      <c r="C310" s="7">
        <v>4185749</v>
      </c>
      <c r="D310" s="23" t="s">
        <v>131</v>
      </c>
      <c r="E310" s="6" t="s">
        <v>132</v>
      </c>
      <c r="F310" s="21" t="s">
        <v>54</v>
      </c>
      <c r="G310" s="45" t="s">
        <v>173</v>
      </c>
      <c r="H310" s="22">
        <v>431.95</v>
      </c>
      <c r="I310" s="9">
        <v>10</v>
      </c>
      <c r="J310" s="22">
        <f t="shared" si="3"/>
        <v>4319.5</v>
      </c>
      <c r="K310" s="9">
        <f t="array" ref="K310">QUARTILE(IF($F$3:$F$1460=$F310,$H$3:$H$1460),1)</f>
        <v>393.94499999999999</v>
      </c>
      <c r="L310" s="9">
        <f t="array" ref="L310">QUARTILE(IF($F$3:$F$1460=$F310,$H$3:$H$1460),2)</f>
        <v>710.01499999999999</v>
      </c>
      <c r="M310" s="9">
        <f t="array" ref="M310">QUARTILE(IF($F$3:$F$1460=$F310,$H$3:$H$1460),3)</f>
        <v>2552.0574999999999</v>
      </c>
    </row>
    <row r="311" spans="1:13" x14ac:dyDescent="0.25">
      <c r="A311" s="7">
        <v>307</v>
      </c>
      <c r="B311" s="6" t="s">
        <v>130</v>
      </c>
      <c r="C311" s="7">
        <v>4185749</v>
      </c>
      <c r="D311" s="23" t="s">
        <v>131</v>
      </c>
      <c r="E311" s="6" t="s">
        <v>132</v>
      </c>
      <c r="F311" s="21" t="s">
        <v>54</v>
      </c>
      <c r="G311" s="71" t="s">
        <v>174</v>
      </c>
      <c r="H311" s="22">
        <v>90.87</v>
      </c>
      <c r="I311" s="9">
        <v>5</v>
      </c>
      <c r="J311" s="22">
        <f t="shared" si="3"/>
        <v>454.35</v>
      </c>
      <c r="K311" s="9">
        <f t="array" ref="K311">QUARTILE(IF($F$3:$F$1460=$F311,$H$3:$H$1460),1)</f>
        <v>393.94499999999999</v>
      </c>
      <c r="L311" s="9">
        <f t="array" ref="L311">QUARTILE(IF($F$3:$F$1460=$F311,$H$3:$H$1460),2)</f>
        <v>710.01499999999999</v>
      </c>
      <c r="M311" s="9">
        <f t="array" ref="M311">QUARTILE(IF($F$3:$F$1460=$F311,$H$3:$H$1460),3)</f>
        <v>2552.0574999999999</v>
      </c>
    </row>
    <row r="312" spans="1:13" x14ac:dyDescent="0.25">
      <c r="A312" s="7">
        <v>308</v>
      </c>
      <c r="B312" s="6" t="s">
        <v>130</v>
      </c>
      <c r="C312" s="7">
        <v>4185749</v>
      </c>
      <c r="D312" s="23" t="s">
        <v>131</v>
      </c>
      <c r="E312" s="6" t="s">
        <v>132</v>
      </c>
      <c r="F312" s="21" t="s">
        <v>54</v>
      </c>
      <c r="G312" s="45" t="s">
        <v>175</v>
      </c>
      <c r="H312" s="22">
        <v>207.1</v>
      </c>
      <c r="I312" s="9">
        <v>5</v>
      </c>
      <c r="J312" s="22">
        <f t="shared" si="3"/>
        <v>1035.5</v>
      </c>
      <c r="K312" s="9">
        <f t="array" ref="K312">QUARTILE(IF($F$3:$F$1460=$F312,$H$3:$H$1460),1)</f>
        <v>393.94499999999999</v>
      </c>
      <c r="L312" s="9">
        <f t="array" ref="L312">QUARTILE(IF($F$3:$F$1460=$F312,$H$3:$H$1460),2)</f>
        <v>710.01499999999999</v>
      </c>
      <c r="M312" s="9">
        <f t="array" ref="M312">QUARTILE(IF($F$3:$F$1460=$F312,$H$3:$H$1460),3)</f>
        <v>2552.0574999999999</v>
      </c>
    </row>
    <row r="313" spans="1:13" x14ac:dyDescent="0.25">
      <c r="A313" s="7">
        <v>309</v>
      </c>
      <c r="B313" s="6" t="s">
        <v>130</v>
      </c>
      <c r="C313" s="7">
        <v>4185749</v>
      </c>
      <c r="D313" s="23" t="s">
        <v>131</v>
      </c>
      <c r="E313" s="6" t="s">
        <v>132</v>
      </c>
      <c r="F313" s="21" t="s">
        <v>54</v>
      </c>
      <c r="G313" s="45" t="s">
        <v>176</v>
      </c>
      <c r="H313" s="22">
        <v>679.4</v>
      </c>
      <c r="I313" s="9">
        <v>3</v>
      </c>
      <c r="J313" s="22">
        <f t="shared" si="3"/>
        <v>2038.1999999999998</v>
      </c>
      <c r="K313" s="9">
        <f t="array" ref="K313">QUARTILE(IF($F$3:$F$1460=$F313,$H$3:$H$1460),1)</f>
        <v>393.94499999999999</v>
      </c>
      <c r="L313" s="9">
        <f t="array" ref="L313">QUARTILE(IF($F$3:$F$1460=$F313,$H$3:$H$1460),2)</f>
        <v>710.01499999999999</v>
      </c>
      <c r="M313" s="9">
        <f t="array" ref="M313">QUARTILE(IF($F$3:$F$1460=$F313,$H$3:$H$1460),3)</f>
        <v>2552.0574999999999</v>
      </c>
    </row>
    <row r="314" spans="1:13" x14ac:dyDescent="0.25">
      <c r="A314" s="7">
        <v>310</v>
      </c>
      <c r="B314" s="6" t="s">
        <v>130</v>
      </c>
      <c r="C314" s="7">
        <v>4185749</v>
      </c>
      <c r="D314" s="23" t="s">
        <v>131</v>
      </c>
      <c r="E314" s="6" t="s">
        <v>132</v>
      </c>
      <c r="F314" s="21" t="s">
        <v>54</v>
      </c>
      <c r="G314" s="45" t="s">
        <v>301</v>
      </c>
      <c r="H314" s="22">
        <v>378.78</v>
      </c>
      <c r="I314" s="9">
        <v>6</v>
      </c>
      <c r="J314" s="22">
        <f t="shared" si="3"/>
        <v>2272.6799999999998</v>
      </c>
      <c r="K314" s="9">
        <f t="array" ref="K314">QUARTILE(IF($F$3:$F$1460=$F314,$H$3:$H$1460),1)</f>
        <v>393.94499999999999</v>
      </c>
      <c r="L314" s="9">
        <f t="array" ref="L314">QUARTILE(IF($F$3:$F$1460=$F314,$H$3:$H$1460),2)</f>
        <v>710.01499999999999</v>
      </c>
      <c r="M314" s="9">
        <f t="array" ref="M314">QUARTILE(IF($F$3:$F$1460=$F314,$H$3:$H$1460),3)</f>
        <v>2552.0574999999999</v>
      </c>
    </row>
    <row r="315" spans="1:13" x14ac:dyDescent="0.25">
      <c r="A315" s="7">
        <v>311</v>
      </c>
      <c r="B315" s="6" t="s">
        <v>130</v>
      </c>
      <c r="C315" s="7">
        <v>4185749</v>
      </c>
      <c r="D315" s="23" t="s">
        <v>131</v>
      </c>
      <c r="E315" s="6" t="s">
        <v>132</v>
      </c>
      <c r="F315" s="21" t="s">
        <v>54</v>
      </c>
      <c r="G315" s="45" t="s">
        <v>178</v>
      </c>
      <c r="H315" s="22">
        <v>627.29</v>
      </c>
      <c r="I315" s="9">
        <v>4</v>
      </c>
      <c r="J315" s="22">
        <f t="shared" si="3"/>
        <v>2509.16</v>
      </c>
      <c r="K315" s="9">
        <f t="array" ref="K315">QUARTILE(IF($F$3:$F$1460=$F315,$H$3:$H$1460),1)</f>
        <v>393.94499999999999</v>
      </c>
      <c r="L315" s="9">
        <f t="array" ref="L315">QUARTILE(IF($F$3:$F$1460=$F315,$H$3:$H$1460),2)</f>
        <v>710.01499999999999</v>
      </c>
      <c r="M315" s="9">
        <f t="array" ref="M315">QUARTILE(IF($F$3:$F$1460=$F315,$H$3:$H$1460),3)</f>
        <v>2552.0574999999999</v>
      </c>
    </row>
    <row r="316" spans="1:13" x14ac:dyDescent="0.25">
      <c r="A316" s="7">
        <v>312</v>
      </c>
      <c r="B316" s="6" t="s">
        <v>130</v>
      </c>
      <c r="C316" s="7">
        <v>4185749</v>
      </c>
      <c r="D316" s="23" t="s">
        <v>131</v>
      </c>
      <c r="E316" s="6" t="s">
        <v>132</v>
      </c>
      <c r="F316" s="21" t="s">
        <v>54</v>
      </c>
      <c r="G316" s="45" t="s">
        <v>302</v>
      </c>
      <c r="H316" s="22">
        <v>2375.15</v>
      </c>
      <c r="I316" s="9">
        <v>2</v>
      </c>
      <c r="J316" s="22">
        <f t="shared" ref="J316:J379" si="4">I316*H316</f>
        <v>4750.3</v>
      </c>
      <c r="K316" s="9">
        <f t="array" ref="K316">QUARTILE(IF($F$3:$F$1460=$F316,$H$3:$H$1460),1)</f>
        <v>393.94499999999999</v>
      </c>
      <c r="L316" s="9">
        <f t="array" ref="L316">QUARTILE(IF($F$3:$F$1460=$F316,$H$3:$H$1460),2)</f>
        <v>710.01499999999999</v>
      </c>
      <c r="M316" s="9">
        <f t="array" ref="M316">QUARTILE(IF($F$3:$F$1460=$F316,$H$3:$H$1460),3)</f>
        <v>2552.0574999999999</v>
      </c>
    </row>
    <row r="317" spans="1:13" x14ac:dyDescent="0.25">
      <c r="A317" s="7">
        <v>313</v>
      </c>
      <c r="B317" s="6" t="s">
        <v>130</v>
      </c>
      <c r="C317" s="7">
        <v>4185749</v>
      </c>
      <c r="D317" s="23" t="s">
        <v>131</v>
      </c>
      <c r="E317" s="6" t="s">
        <v>132</v>
      </c>
      <c r="F317" s="21" t="s">
        <v>41</v>
      </c>
      <c r="G317" s="45" t="s">
        <v>180</v>
      </c>
      <c r="H317" s="22">
        <v>83.32</v>
      </c>
      <c r="I317" s="9">
        <v>5</v>
      </c>
      <c r="J317" s="22">
        <f t="shared" si="4"/>
        <v>416.59999999999997</v>
      </c>
      <c r="K317" s="9">
        <f t="array" ref="K317">QUARTILE(IF($F$3:$F$1460=$F317,$H$3:$H$1460),1)</f>
        <v>112.19999999999999</v>
      </c>
      <c r="L317" s="9">
        <f t="array" ref="L317">QUARTILE(IF($F$3:$F$1460=$F317,$H$3:$H$1460),2)</f>
        <v>252</v>
      </c>
      <c r="M317" s="9">
        <f t="array" ref="M317">QUARTILE(IF($F$3:$F$1460=$F317,$H$3:$H$1460),3)</f>
        <v>2310</v>
      </c>
    </row>
    <row r="318" spans="1:13" x14ac:dyDescent="0.25">
      <c r="A318" s="7">
        <v>314</v>
      </c>
      <c r="B318" s="6" t="s">
        <v>130</v>
      </c>
      <c r="C318" s="7">
        <v>4185749</v>
      </c>
      <c r="D318" s="23" t="s">
        <v>131</v>
      </c>
      <c r="E318" s="6" t="s">
        <v>132</v>
      </c>
      <c r="F318" s="21" t="s">
        <v>41</v>
      </c>
      <c r="G318" s="45" t="s">
        <v>181</v>
      </c>
      <c r="H318" s="22">
        <v>159.74</v>
      </c>
      <c r="I318" s="9">
        <v>5</v>
      </c>
      <c r="J318" s="22">
        <f t="shared" si="4"/>
        <v>798.7</v>
      </c>
      <c r="K318" s="9">
        <f t="array" ref="K318">QUARTILE(IF($F$3:$F$1460=$F318,$H$3:$H$1460),1)</f>
        <v>112.19999999999999</v>
      </c>
      <c r="L318" s="9">
        <f t="array" ref="L318">QUARTILE(IF($F$3:$F$1460=$F318,$H$3:$H$1460),2)</f>
        <v>252</v>
      </c>
      <c r="M318" s="9">
        <f t="array" ref="M318">QUARTILE(IF($F$3:$F$1460=$F318,$H$3:$H$1460),3)</f>
        <v>2310</v>
      </c>
    </row>
    <row r="319" spans="1:13" x14ac:dyDescent="0.25">
      <c r="A319" s="7">
        <v>315</v>
      </c>
      <c r="B319" s="6" t="s">
        <v>130</v>
      </c>
      <c r="C319" s="7">
        <v>4185749</v>
      </c>
      <c r="D319" s="23" t="s">
        <v>131</v>
      </c>
      <c r="E319" s="6" t="s">
        <v>132</v>
      </c>
      <c r="F319" s="21" t="s">
        <v>65</v>
      </c>
      <c r="G319" s="45" t="s">
        <v>303</v>
      </c>
      <c r="H319" s="22">
        <v>1332.48</v>
      </c>
      <c r="I319" s="9">
        <v>2</v>
      </c>
      <c r="J319" s="22">
        <f t="shared" si="4"/>
        <v>2664.96</v>
      </c>
      <c r="K319" s="9">
        <f t="array" ref="K319">QUARTILE(IF($F$3:$F$1460=$F319,$H$3:$H$1460),1)</f>
        <v>1383.98</v>
      </c>
      <c r="L319" s="9">
        <f t="array" ref="L319">QUARTILE(IF($F$3:$F$1460=$F319,$H$3:$H$1460),2)</f>
        <v>1866.7</v>
      </c>
      <c r="M319" s="9">
        <f t="array" ref="M319">QUARTILE(IF($F$3:$F$1460=$F319,$H$3:$H$1460),3)</f>
        <v>4574.5833333333339</v>
      </c>
    </row>
    <row r="320" spans="1:13" x14ac:dyDescent="0.25">
      <c r="A320" s="7">
        <v>316</v>
      </c>
      <c r="B320" s="6" t="s">
        <v>130</v>
      </c>
      <c r="C320" s="7">
        <v>4185749</v>
      </c>
      <c r="D320" s="23" t="s">
        <v>131</v>
      </c>
      <c r="E320" s="6" t="s">
        <v>132</v>
      </c>
      <c r="F320" s="21" t="s">
        <v>65</v>
      </c>
      <c r="G320" s="45" t="s">
        <v>304</v>
      </c>
      <c r="H320" s="22">
        <v>1809.42</v>
      </c>
      <c r="I320" s="9">
        <v>1</v>
      </c>
      <c r="J320" s="22">
        <f t="shared" si="4"/>
        <v>1809.42</v>
      </c>
      <c r="K320" s="9">
        <f t="array" ref="K320">QUARTILE(IF($F$3:$F$1460=$F320,$H$3:$H$1460),1)</f>
        <v>1383.98</v>
      </c>
      <c r="L320" s="9">
        <f t="array" ref="L320">QUARTILE(IF($F$3:$F$1460=$F320,$H$3:$H$1460),2)</f>
        <v>1866.7</v>
      </c>
      <c r="M320" s="9">
        <f t="array" ref="M320">QUARTILE(IF($F$3:$F$1460=$F320,$H$3:$H$1460),3)</f>
        <v>4574.5833333333339</v>
      </c>
    </row>
    <row r="321" spans="1:13" x14ac:dyDescent="0.25">
      <c r="A321" s="7">
        <v>317</v>
      </c>
      <c r="B321" s="6" t="s">
        <v>130</v>
      </c>
      <c r="C321" s="7">
        <v>4185749</v>
      </c>
      <c r="D321" s="23" t="s">
        <v>131</v>
      </c>
      <c r="E321" s="6" t="s">
        <v>132</v>
      </c>
      <c r="F321" s="21" t="s">
        <v>61</v>
      </c>
      <c r="G321" s="45" t="s">
        <v>184</v>
      </c>
      <c r="H321" s="22">
        <v>595.99</v>
      </c>
      <c r="I321" s="9">
        <v>10</v>
      </c>
      <c r="J321" s="22">
        <f t="shared" si="4"/>
        <v>5959.9</v>
      </c>
      <c r="K321" s="9">
        <f t="array" ref="K321">QUARTILE(IF($F$3:$F$1460=$F321,$H$3:$H$1460),1)</f>
        <v>709.95</v>
      </c>
      <c r="L321" s="9">
        <f t="array" ref="L321">QUARTILE(IF($F$3:$F$1460=$F321,$H$3:$H$1460),2)</f>
        <v>1000</v>
      </c>
      <c r="M321" s="9">
        <f t="array" ref="M321">QUARTILE(IF($F$3:$F$1460=$F321,$H$3:$H$1460),3)</f>
        <v>5171.4583333333339</v>
      </c>
    </row>
    <row r="322" spans="1:13" ht="16.5" customHeight="1" x14ac:dyDescent="0.25">
      <c r="A322" s="7">
        <v>318</v>
      </c>
      <c r="B322" s="6" t="s">
        <v>130</v>
      </c>
      <c r="C322" s="7">
        <v>4185749</v>
      </c>
      <c r="D322" s="23" t="s">
        <v>131</v>
      </c>
      <c r="E322" s="6" t="s">
        <v>132</v>
      </c>
      <c r="F322" s="21" t="s">
        <v>61</v>
      </c>
      <c r="G322" s="45" t="s">
        <v>185</v>
      </c>
      <c r="H322" s="22">
        <v>736.28</v>
      </c>
      <c r="I322" s="9">
        <v>2</v>
      </c>
      <c r="J322" s="22">
        <f t="shared" si="4"/>
        <v>1472.56</v>
      </c>
      <c r="K322" s="9">
        <f t="array" ref="K322">QUARTILE(IF($F$3:$F$1460=$F322,$H$3:$H$1460),1)</f>
        <v>709.95</v>
      </c>
      <c r="L322" s="9">
        <f t="array" ref="L322">QUARTILE(IF($F$3:$F$1460=$F322,$H$3:$H$1460),2)</f>
        <v>1000</v>
      </c>
      <c r="M322" s="9">
        <f t="array" ref="M322">QUARTILE(IF($F$3:$F$1460=$F322,$H$3:$H$1460),3)</f>
        <v>5171.4583333333339</v>
      </c>
    </row>
    <row r="323" spans="1:13" ht="17.25" customHeight="1" x14ac:dyDescent="0.25">
      <c r="A323" s="7">
        <v>319</v>
      </c>
      <c r="B323" s="6" t="s">
        <v>130</v>
      </c>
      <c r="C323" s="7">
        <v>4185749</v>
      </c>
      <c r="D323" s="23" t="s">
        <v>131</v>
      </c>
      <c r="E323" s="6" t="s">
        <v>132</v>
      </c>
      <c r="F323" s="21" t="s">
        <v>61</v>
      </c>
      <c r="G323" s="45" t="s">
        <v>186</v>
      </c>
      <c r="H323" s="22">
        <v>2861.76</v>
      </c>
      <c r="I323" s="9">
        <v>2</v>
      </c>
      <c r="J323" s="22">
        <f t="shared" si="4"/>
        <v>5723.52</v>
      </c>
      <c r="K323" s="9">
        <f t="array" ref="K323">QUARTILE(IF($F$3:$F$1460=$F323,$H$3:$H$1460),1)</f>
        <v>709.95</v>
      </c>
      <c r="L323" s="9">
        <f t="array" ref="L323">QUARTILE(IF($F$3:$F$1460=$F323,$H$3:$H$1460),2)</f>
        <v>1000</v>
      </c>
      <c r="M323" s="9">
        <f t="array" ref="M323">QUARTILE(IF($F$3:$F$1460=$F323,$H$3:$H$1460),3)</f>
        <v>5171.4583333333339</v>
      </c>
    </row>
    <row r="324" spans="1:13" x14ac:dyDescent="0.25">
      <c r="A324" s="7">
        <v>320</v>
      </c>
      <c r="B324" s="6" t="s">
        <v>130</v>
      </c>
      <c r="C324" s="7">
        <v>4185749</v>
      </c>
      <c r="D324" s="23" t="s">
        <v>131</v>
      </c>
      <c r="E324" s="6" t="s">
        <v>132</v>
      </c>
      <c r="F324" s="21" t="s">
        <v>61</v>
      </c>
      <c r="G324" s="45" t="s">
        <v>187</v>
      </c>
      <c r="H324" s="22">
        <v>1805.65</v>
      </c>
      <c r="I324" s="9">
        <v>2</v>
      </c>
      <c r="J324" s="22">
        <f t="shared" si="4"/>
        <v>3611.3</v>
      </c>
      <c r="K324" s="9">
        <f t="array" ref="K324">QUARTILE(IF($F$3:$F$1460=$F324,$H$3:$H$1460),1)</f>
        <v>709.95</v>
      </c>
      <c r="L324" s="9">
        <f t="array" ref="L324">QUARTILE(IF($F$3:$F$1460=$F324,$H$3:$H$1460),2)</f>
        <v>1000</v>
      </c>
      <c r="M324" s="9">
        <f t="array" ref="M324">QUARTILE(IF($F$3:$F$1460=$F324,$H$3:$H$1460),3)</f>
        <v>5171.4583333333339</v>
      </c>
    </row>
    <row r="325" spans="1:13" x14ac:dyDescent="0.25">
      <c r="A325" s="7">
        <v>321</v>
      </c>
      <c r="B325" s="6" t="s">
        <v>130</v>
      </c>
      <c r="C325" s="7">
        <v>4185749</v>
      </c>
      <c r="D325" s="23" t="s">
        <v>131</v>
      </c>
      <c r="E325" s="6" t="s">
        <v>132</v>
      </c>
      <c r="F325" s="21" t="s">
        <v>61</v>
      </c>
      <c r="G325" s="45" t="s">
        <v>188</v>
      </c>
      <c r="H325" s="22">
        <v>9998.25</v>
      </c>
      <c r="I325" s="9">
        <v>2</v>
      </c>
      <c r="J325" s="22">
        <f t="shared" si="4"/>
        <v>19996.5</v>
      </c>
      <c r="K325" s="9">
        <f t="array" ref="K325">QUARTILE(IF($F$3:$F$1460=$F325,$H$3:$H$1460),1)</f>
        <v>709.95</v>
      </c>
      <c r="L325" s="9">
        <f t="array" ref="L325">QUARTILE(IF($F$3:$F$1460=$F325,$H$3:$H$1460),2)</f>
        <v>1000</v>
      </c>
      <c r="M325" s="9">
        <f t="array" ref="M325">QUARTILE(IF($F$3:$F$1460=$F325,$H$3:$H$1460),3)</f>
        <v>5171.4583333333339</v>
      </c>
    </row>
    <row r="326" spans="1:13" x14ac:dyDescent="0.25">
      <c r="A326" s="7">
        <v>322</v>
      </c>
      <c r="B326" s="6" t="s">
        <v>130</v>
      </c>
      <c r="C326" s="7">
        <v>4185749</v>
      </c>
      <c r="D326" s="23" t="s">
        <v>131</v>
      </c>
      <c r="E326" s="6" t="s">
        <v>132</v>
      </c>
      <c r="F326" s="21" t="s">
        <v>61</v>
      </c>
      <c r="G326" s="45" t="s">
        <v>189</v>
      </c>
      <c r="H326" s="22">
        <v>22094.39</v>
      </c>
      <c r="I326" s="9">
        <v>1</v>
      </c>
      <c r="J326" s="22">
        <f t="shared" si="4"/>
        <v>22094.39</v>
      </c>
      <c r="K326" s="9">
        <f t="array" ref="K326">QUARTILE(IF($F$3:$F$1460=$F326,$H$3:$H$1460),1)</f>
        <v>709.95</v>
      </c>
      <c r="L326" s="9">
        <f t="array" ref="L326">QUARTILE(IF($F$3:$F$1460=$F326,$H$3:$H$1460),2)</f>
        <v>1000</v>
      </c>
      <c r="M326" s="9">
        <f t="array" ref="M326">QUARTILE(IF($F$3:$F$1460=$F326,$H$3:$H$1460),3)</f>
        <v>5171.4583333333339</v>
      </c>
    </row>
    <row r="327" spans="1:13" x14ac:dyDescent="0.25">
      <c r="A327" s="7">
        <v>323</v>
      </c>
      <c r="B327" s="6" t="s">
        <v>130</v>
      </c>
      <c r="C327" s="7">
        <v>4185749</v>
      </c>
      <c r="D327" s="23" t="s">
        <v>131</v>
      </c>
      <c r="E327" s="6" t="s">
        <v>132</v>
      </c>
      <c r="F327" s="26" t="s">
        <v>31</v>
      </c>
      <c r="G327" s="8" t="s">
        <v>305</v>
      </c>
      <c r="H327" s="28">
        <v>60.96</v>
      </c>
      <c r="I327" s="25">
        <v>20</v>
      </c>
      <c r="J327" s="28">
        <f t="shared" si="4"/>
        <v>1219.2</v>
      </c>
      <c r="K327" s="9">
        <f t="array" ref="K327">QUARTILE(IF($F$3:$F$1460=$F327,$H$3:$H$1460),1)</f>
        <v>55.5</v>
      </c>
      <c r="L327" s="9">
        <f t="array" ref="L327">QUARTILE(IF($F$3:$F$1460=$F327,$H$3:$H$1460),2)</f>
        <v>91.88</v>
      </c>
      <c r="M327" s="9">
        <f t="array" ref="M327">QUARTILE(IF($F$3:$F$1460=$F327,$H$3:$H$1460),3)</f>
        <v>148.36000000000001</v>
      </c>
    </row>
    <row r="328" spans="1:13" x14ac:dyDescent="0.25">
      <c r="A328" s="7">
        <v>324</v>
      </c>
      <c r="B328" s="6" t="s">
        <v>130</v>
      </c>
      <c r="C328" s="7">
        <v>4185749</v>
      </c>
      <c r="D328" s="23" t="s">
        <v>131</v>
      </c>
      <c r="E328" s="6" t="s">
        <v>132</v>
      </c>
      <c r="F328" s="21" t="s">
        <v>31</v>
      </c>
      <c r="G328" s="8" t="s">
        <v>306</v>
      </c>
      <c r="H328" s="22">
        <v>94.33</v>
      </c>
      <c r="I328" s="9">
        <v>20</v>
      </c>
      <c r="J328" s="22">
        <f t="shared" si="4"/>
        <v>1886.6</v>
      </c>
      <c r="K328" s="9">
        <f t="array" ref="K328">QUARTILE(IF($F$3:$F$1460=$F328,$H$3:$H$1460),1)</f>
        <v>55.5</v>
      </c>
      <c r="L328" s="9">
        <f t="array" ref="L328">QUARTILE(IF($F$3:$F$1460=$F328,$H$3:$H$1460),2)</f>
        <v>91.88</v>
      </c>
      <c r="M328" s="9">
        <f t="array" ref="M328">QUARTILE(IF($F$3:$F$1460=$F328,$H$3:$H$1460),3)</f>
        <v>148.36000000000001</v>
      </c>
    </row>
    <row r="329" spans="1:13" x14ac:dyDescent="0.25">
      <c r="A329" s="7">
        <v>325</v>
      </c>
      <c r="B329" s="6" t="s">
        <v>130</v>
      </c>
      <c r="C329" s="7">
        <v>4185749</v>
      </c>
      <c r="D329" s="23" t="s">
        <v>131</v>
      </c>
      <c r="E329" s="6" t="s">
        <v>132</v>
      </c>
      <c r="F329" s="21" t="s">
        <v>31</v>
      </c>
      <c r="G329" s="8" t="s">
        <v>307</v>
      </c>
      <c r="H329" s="22">
        <v>110.31</v>
      </c>
      <c r="I329" s="9">
        <v>20</v>
      </c>
      <c r="J329" s="22">
        <f t="shared" si="4"/>
        <v>2206.1999999999998</v>
      </c>
      <c r="K329" s="9">
        <f t="array" ref="K329">QUARTILE(IF($F$3:$F$1460=$F329,$H$3:$H$1460),1)</f>
        <v>55.5</v>
      </c>
      <c r="L329" s="9">
        <f t="array" ref="L329">QUARTILE(IF($F$3:$F$1460=$F329,$H$3:$H$1460),2)</f>
        <v>91.88</v>
      </c>
      <c r="M329" s="9">
        <f t="array" ref="M329">QUARTILE(IF($F$3:$F$1460=$F329,$H$3:$H$1460),3)</f>
        <v>148.36000000000001</v>
      </c>
    </row>
    <row r="330" spans="1:13" x14ac:dyDescent="0.25">
      <c r="A330" s="7">
        <v>326</v>
      </c>
      <c r="B330" s="6" t="s">
        <v>130</v>
      </c>
      <c r="C330" s="7">
        <v>4185749</v>
      </c>
      <c r="D330" s="23" t="s">
        <v>131</v>
      </c>
      <c r="E330" s="6" t="s">
        <v>132</v>
      </c>
      <c r="F330" s="21" t="s">
        <v>31</v>
      </c>
      <c r="G330" s="6" t="s">
        <v>193</v>
      </c>
      <c r="H330" s="22">
        <v>54.12</v>
      </c>
      <c r="I330" s="9">
        <v>10</v>
      </c>
      <c r="J330" s="22">
        <f t="shared" si="4"/>
        <v>541.19999999999993</v>
      </c>
      <c r="K330" s="9">
        <f t="array" ref="K330">QUARTILE(IF($F$3:$F$1460=$F330,$H$3:$H$1460),1)</f>
        <v>55.5</v>
      </c>
      <c r="L330" s="9">
        <f t="array" ref="L330">QUARTILE(IF($F$3:$F$1460=$F330,$H$3:$H$1460),2)</f>
        <v>91.88</v>
      </c>
      <c r="M330" s="9">
        <f t="array" ref="M330">QUARTILE(IF($F$3:$F$1460=$F330,$H$3:$H$1460),3)</f>
        <v>148.36000000000001</v>
      </c>
    </row>
    <row r="331" spans="1:13" x14ac:dyDescent="0.25">
      <c r="A331" s="7">
        <v>327</v>
      </c>
      <c r="B331" s="6" t="s">
        <v>130</v>
      </c>
      <c r="C331" s="7">
        <v>4185749</v>
      </c>
      <c r="D331" s="23" t="s">
        <v>131</v>
      </c>
      <c r="E331" s="6" t="s">
        <v>132</v>
      </c>
      <c r="F331" s="21" t="s">
        <v>31</v>
      </c>
      <c r="G331" s="6" t="s">
        <v>194</v>
      </c>
      <c r="H331" s="22">
        <v>101.89</v>
      </c>
      <c r="I331" s="9">
        <v>10</v>
      </c>
      <c r="J331" s="22">
        <f t="shared" si="4"/>
        <v>1018.9</v>
      </c>
      <c r="K331" s="9">
        <f t="array" ref="K331">QUARTILE(IF($F$3:$F$1460=$F331,$H$3:$H$1460),1)</f>
        <v>55.5</v>
      </c>
      <c r="L331" s="9">
        <f t="array" ref="L331">QUARTILE(IF($F$3:$F$1460=$F331,$H$3:$H$1460),2)</f>
        <v>91.88</v>
      </c>
      <c r="M331" s="9">
        <f t="array" ref="M331">QUARTILE(IF($F$3:$F$1460=$F331,$H$3:$H$1460),3)</f>
        <v>148.36000000000001</v>
      </c>
    </row>
    <row r="332" spans="1:13" x14ac:dyDescent="0.25">
      <c r="A332" s="7">
        <v>328</v>
      </c>
      <c r="B332" s="6" t="s">
        <v>130</v>
      </c>
      <c r="C332" s="7">
        <v>4185749</v>
      </c>
      <c r="D332" s="23" t="s">
        <v>131</v>
      </c>
      <c r="E332" s="6" t="s">
        <v>132</v>
      </c>
      <c r="F332" s="21" t="s">
        <v>31</v>
      </c>
      <c r="G332" s="6" t="s">
        <v>195</v>
      </c>
      <c r="H332" s="22">
        <v>147.46</v>
      </c>
      <c r="I332" s="9">
        <v>5</v>
      </c>
      <c r="J332" s="22">
        <f t="shared" si="4"/>
        <v>737.30000000000007</v>
      </c>
      <c r="K332" s="9">
        <f t="array" ref="K332">QUARTILE(IF($F$3:$F$1460=$F332,$H$3:$H$1460),1)</f>
        <v>55.5</v>
      </c>
      <c r="L332" s="9">
        <f t="array" ref="L332">QUARTILE(IF($F$3:$F$1460=$F332,$H$3:$H$1460),2)</f>
        <v>91.88</v>
      </c>
      <c r="M332" s="9">
        <f t="array" ref="M332">QUARTILE(IF($F$3:$F$1460=$F332,$H$3:$H$1460),3)</f>
        <v>148.36000000000001</v>
      </c>
    </row>
    <row r="333" spans="1:13" x14ac:dyDescent="0.25">
      <c r="A333" s="7">
        <v>331</v>
      </c>
      <c r="B333" s="6" t="s">
        <v>130</v>
      </c>
      <c r="C333" s="7">
        <v>4185749</v>
      </c>
      <c r="D333" s="23" t="s">
        <v>131</v>
      </c>
      <c r="E333" s="6" t="s">
        <v>132</v>
      </c>
      <c r="F333" s="21" t="s">
        <v>27</v>
      </c>
      <c r="G333" s="6" t="s">
        <v>198</v>
      </c>
      <c r="H333" s="22">
        <v>33.15</v>
      </c>
      <c r="I333" s="9">
        <v>20</v>
      </c>
      <c r="J333" s="22">
        <f t="shared" si="4"/>
        <v>663</v>
      </c>
      <c r="K333" s="9">
        <f t="array" ref="K333">QUARTILE(IF($F$3:$F$1460=$F333,$H$3:$H$1460),1)</f>
        <v>35.864999999999995</v>
      </c>
      <c r="L333" s="9">
        <f t="array" ref="L333">QUARTILE(IF($F$3:$F$1460=$F333,$H$3:$H$1460),2)</f>
        <v>54.65</v>
      </c>
      <c r="M333" s="9">
        <f t="array" ref="M333">QUARTILE(IF($F$3:$F$1460=$F333,$H$3:$H$1460),3)</f>
        <v>66.5</v>
      </c>
    </row>
    <row r="334" spans="1:13" x14ac:dyDescent="0.25">
      <c r="A334" s="7">
        <v>332</v>
      </c>
      <c r="B334" s="6" t="s">
        <v>130</v>
      </c>
      <c r="C334" s="7">
        <v>4185749</v>
      </c>
      <c r="D334" s="23" t="s">
        <v>131</v>
      </c>
      <c r="E334" s="6" t="s">
        <v>132</v>
      </c>
      <c r="F334" s="21" t="s">
        <v>27</v>
      </c>
      <c r="G334" s="6" t="s">
        <v>199</v>
      </c>
      <c r="H334" s="22">
        <v>54.65</v>
      </c>
      <c r="I334" s="9">
        <v>10</v>
      </c>
      <c r="J334" s="22">
        <f t="shared" si="4"/>
        <v>546.5</v>
      </c>
      <c r="K334" s="9">
        <f t="array" ref="K334">QUARTILE(IF($F$3:$F$1460=$F334,$H$3:$H$1460),1)</f>
        <v>35.864999999999995</v>
      </c>
      <c r="L334" s="9">
        <f t="array" ref="L334">QUARTILE(IF($F$3:$F$1460=$F334,$H$3:$H$1460),2)</f>
        <v>54.65</v>
      </c>
      <c r="M334" s="9">
        <f t="array" ref="M334">QUARTILE(IF($F$3:$F$1460=$F334,$H$3:$H$1460),3)</f>
        <v>66.5</v>
      </c>
    </row>
    <row r="335" spans="1:13" x14ac:dyDescent="0.25">
      <c r="A335" s="7">
        <v>333</v>
      </c>
      <c r="B335" s="6" t="s">
        <v>130</v>
      </c>
      <c r="C335" s="7">
        <v>4185749</v>
      </c>
      <c r="D335" s="23" t="s">
        <v>131</v>
      </c>
      <c r="E335" s="6" t="s">
        <v>132</v>
      </c>
      <c r="F335" s="21" t="s">
        <v>27</v>
      </c>
      <c r="G335" s="6" t="s">
        <v>200</v>
      </c>
      <c r="H335" s="22">
        <v>100.3</v>
      </c>
      <c r="I335" s="9">
        <v>5</v>
      </c>
      <c r="J335" s="22">
        <f t="shared" si="4"/>
        <v>501.5</v>
      </c>
      <c r="K335" s="9">
        <f t="array" ref="K335">QUARTILE(IF($F$3:$F$1460=$F335,$H$3:$H$1460),1)</f>
        <v>35.864999999999995</v>
      </c>
      <c r="L335" s="9">
        <f t="array" ref="L335">QUARTILE(IF($F$3:$F$1460=$F335,$H$3:$H$1460),2)</f>
        <v>54.65</v>
      </c>
      <c r="M335" s="9">
        <f t="array" ref="M335">QUARTILE(IF($F$3:$F$1460=$F335,$H$3:$H$1460),3)</f>
        <v>66.5</v>
      </c>
    </row>
    <row r="336" spans="1:13" x14ac:dyDescent="0.25">
      <c r="A336" s="7">
        <v>334</v>
      </c>
      <c r="B336" s="6" t="s">
        <v>130</v>
      </c>
      <c r="C336" s="7">
        <v>4185749</v>
      </c>
      <c r="D336" s="23" t="s">
        <v>131</v>
      </c>
      <c r="E336" s="6" t="s">
        <v>132</v>
      </c>
      <c r="F336" s="21" t="s">
        <v>31</v>
      </c>
      <c r="G336" s="6" t="s">
        <v>308</v>
      </c>
      <c r="H336" s="22">
        <v>41.15</v>
      </c>
      <c r="I336" s="9">
        <v>5</v>
      </c>
      <c r="J336" s="22">
        <f t="shared" si="4"/>
        <v>205.75</v>
      </c>
      <c r="K336" s="9">
        <f t="array" ref="K336">QUARTILE(IF($F$3:$F$1460=$F336,$H$3:$H$1460),1)</f>
        <v>55.5</v>
      </c>
      <c r="L336" s="9">
        <f t="array" ref="L336">QUARTILE(IF($F$3:$F$1460=$F336,$H$3:$H$1460),2)</f>
        <v>91.88</v>
      </c>
      <c r="M336" s="9">
        <f t="array" ref="M336">QUARTILE(IF($F$3:$F$1460=$F336,$H$3:$H$1460),3)</f>
        <v>148.36000000000001</v>
      </c>
    </row>
    <row r="337" spans="1:13" x14ac:dyDescent="0.25">
      <c r="A337" s="7">
        <v>335</v>
      </c>
      <c r="B337" s="6" t="s">
        <v>130</v>
      </c>
      <c r="C337" s="7">
        <v>4185749</v>
      </c>
      <c r="D337" s="23" t="s">
        <v>131</v>
      </c>
      <c r="E337" s="6" t="s">
        <v>132</v>
      </c>
      <c r="F337" s="21" t="s">
        <v>31</v>
      </c>
      <c r="G337" s="6" t="s">
        <v>202</v>
      </c>
      <c r="H337" s="22">
        <v>56.67</v>
      </c>
      <c r="I337" s="9">
        <v>5</v>
      </c>
      <c r="J337" s="22">
        <f t="shared" si="4"/>
        <v>283.35000000000002</v>
      </c>
      <c r="K337" s="9">
        <f t="array" ref="K337">QUARTILE(IF($F$3:$F$1460=$F337,$H$3:$H$1460),1)</f>
        <v>55.5</v>
      </c>
      <c r="L337" s="9">
        <f t="array" ref="L337">QUARTILE(IF($F$3:$F$1460=$F337,$H$3:$H$1460),2)</f>
        <v>91.88</v>
      </c>
      <c r="M337" s="9">
        <f t="array" ref="M337">QUARTILE(IF($F$3:$F$1460=$F337,$H$3:$H$1460),3)</f>
        <v>148.36000000000001</v>
      </c>
    </row>
    <row r="338" spans="1:13" x14ac:dyDescent="0.25">
      <c r="A338" s="7">
        <v>336</v>
      </c>
      <c r="B338" s="6" t="s">
        <v>130</v>
      </c>
      <c r="C338" s="7">
        <v>4185749</v>
      </c>
      <c r="D338" s="23" t="s">
        <v>131</v>
      </c>
      <c r="E338" s="6" t="s">
        <v>132</v>
      </c>
      <c r="F338" s="21" t="s">
        <v>31</v>
      </c>
      <c r="G338" s="6" t="s">
        <v>203</v>
      </c>
      <c r="H338" s="22">
        <v>89.57</v>
      </c>
      <c r="I338" s="9">
        <v>5</v>
      </c>
      <c r="J338" s="22">
        <f t="shared" si="4"/>
        <v>447.84999999999997</v>
      </c>
      <c r="K338" s="9">
        <f t="array" ref="K338">QUARTILE(IF($F$3:$F$1460=$F338,$H$3:$H$1460),1)</f>
        <v>55.5</v>
      </c>
      <c r="L338" s="9">
        <f t="array" ref="L338">QUARTILE(IF($F$3:$F$1460=$F338,$H$3:$H$1460),2)</f>
        <v>91.88</v>
      </c>
      <c r="M338" s="9">
        <f t="array" ref="M338">QUARTILE(IF($F$3:$F$1460=$F338,$H$3:$H$1460),3)</f>
        <v>148.36000000000001</v>
      </c>
    </row>
    <row r="339" spans="1:13" x14ac:dyDescent="0.25">
      <c r="A339" s="7">
        <v>337</v>
      </c>
      <c r="B339" s="6" t="s">
        <v>130</v>
      </c>
      <c r="C339" s="7">
        <v>4185749</v>
      </c>
      <c r="D339" s="23" t="s">
        <v>131</v>
      </c>
      <c r="E339" s="6" t="s">
        <v>132</v>
      </c>
      <c r="F339" s="21" t="s">
        <v>31</v>
      </c>
      <c r="G339" s="6" t="s">
        <v>204</v>
      </c>
      <c r="H339" s="22">
        <v>92.69</v>
      </c>
      <c r="I339" s="9">
        <v>5</v>
      </c>
      <c r="J339" s="22">
        <f t="shared" si="4"/>
        <v>463.45</v>
      </c>
      <c r="K339" s="9">
        <f t="array" ref="K339">QUARTILE(IF($F$3:$F$1460=$F339,$H$3:$H$1460),1)</f>
        <v>55.5</v>
      </c>
      <c r="L339" s="9">
        <f t="array" ref="L339">QUARTILE(IF($F$3:$F$1460=$F339,$H$3:$H$1460),2)</f>
        <v>91.88</v>
      </c>
      <c r="M339" s="9">
        <f t="array" ref="M339">QUARTILE(IF($F$3:$F$1460=$F339,$H$3:$H$1460),3)</f>
        <v>148.36000000000001</v>
      </c>
    </row>
    <row r="340" spans="1:13" x14ac:dyDescent="0.25">
      <c r="A340" s="7">
        <v>338</v>
      </c>
      <c r="B340" s="6" t="s">
        <v>130</v>
      </c>
      <c r="C340" s="7">
        <v>4185749</v>
      </c>
      <c r="D340" s="23" t="s">
        <v>131</v>
      </c>
      <c r="E340" s="6" t="s">
        <v>132</v>
      </c>
      <c r="F340" s="21" t="s">
        <v>31</v>
      </c>
      <c r="G340" s="6" t="s">
        <v>205</v>
      </c>
      <c r="H340" s="22">
        <v>41.97</v>
      </c>
      <c r="I340" s="9">
        <v>20</v>
      </c>
      <c r="J340" s="22">
        <f t="shared" si="4"/>
        <v>839.4</v>
      </c>
      <c r="K340" s="9">
        <f t="array" ref="K340">QUARTILE(IF($F$3:$F$1460=$F340,$H$3:$H$1460),1)</f>
        <v>55.5</v>
      </c>
      <c r="L340" s="9">
        <f t="array" ref="L340">QUARTILE(IF($F$3:$F$1460=$F340,$H$3:$H$1460),2)</f>
        <v>91.88</v>
      </c>
      <c r="M340" s="9">
        <f t="array" ref="M340">QUARTILE(IF($F$3:$F$1460=$F340,$H$3:$H$1460),3)</f>
        <v>148.36000000000001</v>
      </c>
    </row>
    <row r="341" spans="1:13" x14ac:dyDescent="0.25">
      <c r="A341" s="7">
        <v>339</v>
      </c>
      <c r="B341" s="6" t="s">
        <v>130</v>
      </c>
      <c r="C341" s="7">
        <v>4185749</v>
      </c>
      <c r="D341" s="23" t="s">
        <v>131</v>
      </c>
      <c r="E341" s="6" t="s">
        <v>132</v>
      </c>
      <c r="F341" s="21" t="s">
        <v>31</v>
      </c>
      <c r="G341" s="6" t="s">
        <v>206</v>
      </c>
      <c r="H341" s="22">
        <v>97.15</v>
      </c>
      <c r="I341" s="9">
        <v>10</v>
      </c>
      <c r="J341" s="22">
        <f t="shared" si="4"/>
        <v>971.5</v>
      </c>
      <c r="K341" s="9">
        <f t="array" ref="K341">QUARTILE(IF($F$3:$F$1460=$F341,$H$3:$H$1460),1)</f>
        <v>55.5</v>
      </c>
      <c r="L341" s="9">
        <f t="array" ref="L341">QUARTILE(IF($F$3:$F$1460=$F341,$H$3:$H$1460),2)</f>
        <v>91.88</v>
      </c>
      <c r="M341" s="9">
        <f t="array" ref="M341">QUARTILE(IF($F$3:$F$1460=$F341,$H$3:$H$1460),3)</f>
        <v>148.36000000000001</v>
      </c>
    </row>
    <row r="342" spans="1:13" x14ac:dyDescent="0.25">
      <c r="A342" s="7">
        <v>340</v>
      </c>
      <c r="B342" s="6" t="s">
        <v>130</v>
      </c>
      <c r="C342" s="7">
        <v>4185749</v>
      </c>
      <c r="D342" s="23" t="s">
        <v>131</v>
      </c>
      <c r="E342" s="6" t="s">
        <v>132</v>
      </c>
      <c r="F342" s="21" t="s">
        <v>31</v>
      </c>
      <c r="G342" s="6" t="s">
        <v>309</v>
      </c>
      <c r="H342" s="22">
        <v>185.85</v>
      </c>
      <c r="I342" s="9">
        <v>5</v>
      </c>
      <c r="J342" s="22">
        <f t="shared" si="4"/>
        <v>929.25</v>
      </c>
      <c r="K342" s="9">
        <f t="array" ref="K342">QUARTILE(IF($F$3:$F$1460=$F342,$H$3:$H$1460),1)</f>
        <v>55.5</v>
      </c>
      <c r="L342" s="9">
        <f t="array" ref="L342">QUARTILE(IF($F$3:$F$1460=$F342,$H$3:$H$1460),2)</f>
        <v>91.88</v>
      </c>
      <c r="M342" s="9">
        <f t="array" ref="M342">QUARTILE(IF($F$3:$F$1460=$F342,$H$3:$H$1460),3)</f>
        <v>148.36000000000001</v>
      </c>
    </row>
    <row r="343" spans="1:13" x14ac:dyDescent="0.25">
      <c r="A343" s="7">
        <v>341</v>
      </c>
      <c r="B343" s="6" t="s">
        <v>130</v>
      </c>
      <c r="C343" s="7">
        <v>4185749</v>
      </c>
      <c r="D343" s="23" t="s">
        <v>131</v>
      </c>
      <c r="E343" s="6" t="s">
        <v>132</v>
      </c>
      <c r="F343" s="21" t="s">
        <v>31</v>
      </c>
      <c r="G343" s="6" t="s">
        <v>208</v>
      </c>
      <c r="H343" s="22">
        <v>57.32</v>
      </c>
      <c r="I343" s="9">
        <v>5</v>
      </c>
      <c r="J343" s="22">
        <f t="shared" si="4"/>
        <v>286.60000000000002</v>
      </c>
      <c r="K343" s="9">
        <f t="array" ref="K343">QUARTILE(IF($F$3:$F$1460=$F343,$H$3:$H$1460),1)</f>
        <v>55.5</v>
      </c>
      <c r="L343" s="9">
        <f t="array" ref="L343">QUARTILE(IF($F$3:$F$1460=$F343,$H$3:$H$1460),2)</f>
        <v>91.88</v>
      </c>
      <c r="M343" s="9">
        <f t="array" ref="M343">QUARTILE(IF($F$3:$F$1460=$F343,$H$3:$H$1460),3)</f>
        <v>148.36000000000001</v>
      </c>
    </row>
    <row r="344" spans="1:13" x14ac:dyDescent="0.25">
      <c r="A344" s="7">
        <v>342</v>
      </c>
      <c r="B344" s="6" t="s">
        <v>130</v>
      </c>
      <c r="C344" s="7">
        <v>4185749</v>
      </c>
      <c r="D344" s="23" t="s">
        <v>131</v>
      </c>
      <c r="E344" s="6" t="s">
        <v>132</v>
      </c>
      <c r="F344" s="21" t="s">
        <v>31</v>
      </c>
      <c r="G344" s="6" t="s">
        <v>209</v>
      </c>
      <c r="H344" s="22">
        <v>97.15</v>
      </c>
      <c r="I344" s="9">
        <v>5</v>
      </c>
      <c r="J344" s="22">
        <f t="shared" si="4"/>
        <v>485.75</v>
      </c>
      <c r="K344" s="9">
        <f t="array" ref="K344">QUARTILE(IF($F$3:$F$1460=$F344,$H$3:$H$1460),1)</f>
        <v>55.5</v>
      </c>
      <c r="L344" s="9">
        <f t="array" ref="L344">QUARTILE(IF($F$3:$F$1460=$F344,$H$3:$H$1460),2)</f>
        <v>91.88</v>
      </c>
      <c r="M344" s="9">
        <f t="array" ref="M344">QUARTILE(IF($F$3:$F$1460=$F344,$H$3:$H$1460),3)</f>
        <v>148.36000000000001</v>
      </c>
    </row>
    <row r="345" spans="1:13" x14ac:dyDescent="0.25">
      <c r="A345" s="7">
        <v>343</v>
      </c>
      <c r="B345" s="6" t="s">
        <v>130</v>
      </c>
      <c r="C345" s="7">
        <v>4185749</v>
      </c>
      <c r="D345" s="23" t="s">
        <v>131</v>
      </c>
      <c r="E345" s="6" t="s">
        <v>132</v>
      </c>
      <c r="F345" s="21" t="s">
        <v>31</v>
      </c>
      <c r="G345" s="6" t="s">
        <v>210</v>
      </c>
      <c r="H345" s="22">
        <v>94.09</v>
      </c>
      <c r="I345" s="9">
        <v>5</v>
      </c>
      <c r="J345" s="22">
        <f t="shared" si="4"/>
        <v>470.45000000000005</v>
      </c>
      <c r="K345" s="9">
        <f t="array" ref="K345">QUARTILE(IF($F$3:$F$1460=$F345,$H$3:$H$1460),1)</f>
        <v>55.5</v>
      </c>
      <c r="L345" s="9">
        <f t="array" ref="L345">QUARTILE(IF($F$3:$F$1460=$F345,$H$3:$H$1460),2)</f>
        <v>91.88</v>
      </c>
      <c r="M345" s="9">
        <f t="array" ref="M345">QUARTILE(IF($F$3:$F$1460=$F345,$H$3:$H$1460),3)</f>
        <v>148.36000000000001</v>
      </c>
    </row>
    <row r="346" spans="1:13" x14ac:dyDescent="0.25">
      <c r="A346" s="7">
        <v>344</v>
      </c>
      <c r="B346" s="6" t="s">
        <v>130</v>
      </c>
      <c r="C346" s="7">
        <v>4185749</v>
      </c>
      <c r="D346" s="23" t="s">
        <v>131</v>
      </c>
      <c r="E346" s="6" t="s">
        <v>132</v>
      </c>
      <c r="F346" s="26" t="s">
        <v>20</v>
      </c>
      <c r="G346" s="6" t="s">
        <v>211</v>
      </c>
      <c r="H346" s="22">
        <v>25.22</v>
      </c>
      <c r="I346" s="9">
        <v>20</v>
      </c>
      <c r="J346" s="22">
        <f t="shared" si="4"/>
        <v>504.4</v>
      </c>
      <c r="K346" s="9">
        <f t="array" ref="K346">QUARTILE(IF($F$3:$F$1460=$F346,$H$3:$H$1460),1)</f>
        <v>22.082500000000003</v>
      </c>
      <c r="L346" s="9">
        <f t="array" ref="L346">QUARTILE(IF($F$3:$F$1460=$F346,$H$3:$H$1460),2)</f>
        <v>31.15</v>
      </c>
      <c r="M346" s="9">
        <f t="array" ref="M346">QUARTILE(IF($F$3:$F$1460=$F346,$H$3:$H$1460),3)</f>
        <v>48.125</v>
      </c>
    </row>
    <row r="347" spans="1:13" x14ac:dyDescent="0.25">
      <c r="A347" s="7">
        <v>345</v>
      </c>
      <c r="B347" s="6" t="s">
        <v>130</v>
      </c>
      <c r="C347" s="7">
        <v>4185749</v>
      </c>
      <c r="D347" s="23" t="s">
        <v>131</v>
      </c>
      <c r="E347" s="6" t="s">
        <v>132</v>
      </c>
      <c r="F347" s="26" t="s">
        <v>20</v>
      </c>
      <c r="G347" s="6" t="s">
        <v>212</v>
      </c>
      <c r="H347" s="22">
        <v>16.04</v>
      </c>
      <c r="I347" s="9">
        <v>20</v>
      </c>
      <c r="J347" s="22">
        <f t="shared" si="4"/>
        <v>320.79999999999995</v>
      </c>
      <c r="K347" s="9">
        <f t="array" ref="K347">QUARTILE(IF($F$3:$F$1460=$F347,$H$3:$H$1460),1)</f>
        <v>22.082500000000003</v>
      </c>
      <c r="L347" s="9">
        <f t="array" ref="L347">QUARTILE(IF($F$3:$F$1460=$F347,$H$3:$H$1460),2)</f>
        <v>31.15</v>
      </c>
      <c r="M347" s="9">
        <f t="array" ref="M347">QUARTILE(IF($F$3:$F$1460=$F347,$H$3:$H$1460),3)</f>
        <v>48.125</v>
      </c>
    </row>
    <row r="348" spans="1:13" x14ac:dyDescent="0.25">
      <c r="A348" s="7">
        <v>346</v>
      </c>
      <c r="B348" s="6" t="s">
        <v>130</v>
      </c>
      <c r="C348" s="7">
        <v>4185749</v>
      </c>
      <c r="D348" s="23" t="s">
        <v>131</v>
      </c>
      <c r="E348" s="6" t="s">
        <v>132</v>
      </c>
      <c r="F348" s="26" t="s">
        <v>20</v>
      </c>
      <c r="G348" s="6" t="s">
        <v>213</v>
      </c>
      <c r="H348" s="34">
        <v>33.380000000000003</v>
      </c>
      <c r="I348" s="31">
        <v>5</v>
      </c>
      <c r="J348" s="34">
        <f t="shared" si="4"/>
        <v>166.9</v>
      </c>
      <c r="K348" s="9">
        <f t="array" ref="K348">QUARTILE(IF($F$3:$F$1460=$F348,$H$3:$H$1460),1)</f>
        <v>22.082500000000003</v>
      </c>
      <c r="L348" s="9">
        <f t="array" ref="L348">QUARTILE(IF($F$3:$F$1460=$F348,$H$3:$H$1460),2)</f>
        <v>31.15</v>
      </c>
      <c r="M348" s="9">
        <f t="array" ref="M348">QUARTILE(IF($F$3:$F$1460=$F348,$H$3:$H$1460),3)</f>
        <v>48.125</v>
      </c>
    </row>
    <row r="349" spans="1:13" x14ac:dyDescent="0.25">
      <c r="A349" s="7">
        <v>347</v>
      </c>
      <c r="B349" s="6" t="s">
        <v>130</v>
      </c>
      <c r="C349" s="7">
        <v>4185749</v>
      </c>
      <c r="D349" s="23" t="s">
        <v>131</v>
      </c>
      <c r="E349" s="6" t="s">
        <v>132</v>
      </c>
      <c r="F349" s="26" t="s">
        <v>20</v>
      </c>
      <c r="G349" s="6" t="s">
        <v>214</v>
      </c>
      <c r="H349" s="22">
        <v>16.670000000000002</v>
      </c>
      <c r="I349" s="9">
        <v>5</v>
      </c>
      <c r="J349" s="22">
        <f t="shared" si="4"/>
        <v>83.350000000000009</v>
      </c>
      <c r="K349" s="9">
        <f t="array" ref="K349">QUARTILE(IF($F$3:$F$1460=$F349,$H$3:$H$1460),1)</f>
        <v>22.082500000000003</v>
      </c>
      <c r="L349" s="9">
        <f t="array" ref="L349">QUARTILE(IF($F$3:$F$1460=$F349,$H$3:$H$1460),2)</f>
        <v>31.15</v>
      </c>
      <c r="M349" s="9">
        <f t="array" ref="M349">QUARTILE(IF($F$3:$F$1460=$F349,$H$3:$H$1460),3)</f>
        <v>48.125</v>
      </c>
    </row>
    <row r="350" spans="1:13" x14ac:dyDescent="0.25">
      <c r="A350" s="7">
        <v>348</v>
      </c>
      <c r="B350" s="6" t="s">
        <v>130</v>
      </c>
      <c r="C350" s="7">
        <v>4185749</v>
      </c>
      <c r="D350" s="23" t="s">
        <v>131</v>
      </c>
      <c r="E350" s="6" t="s">
        <v>132</v>
      </c>
      <c r="F350" s="26" t="s">
        <v>20</v>
      </c>
      <c r="G350" s="6" t="s">
        <v>215</v>
      </c>
      <c r="H350" s="22">
        <v>30.8</v>
      </c>
      <c r="I350" s="9">
        <v>5</v>
      </c>
      <c r="J350" s="22">
        <f t="shared" si="4"/>
        <v>154</v>
      </c>
      <c r="K350" s="9">
        <f t="array" ref="K350">QUARTILE(IF($F$3:$F$1460=$F350,$H$3:$H$1460),1)</f>
        <v>22.082500000000003</v>
      </c>
      <c r="L350" s="9">
        <f t="array" ref="L350">QUARTILE(IF($F$3:$F$1460=$F350,$H$3:$H$1460),2)</f>
        <v>31.15</v>
      </c>
      <c r="M350" s="9">
        <f t="array" ref="M350">QUARTILE(IF($F$3:$F$1460=$F350,$H$3:$H$1460),3)</f>
        <v>48.125</v>
      </c>
    </row>
    <row r="351" spans="1:13" x14ac:dyDescent="0.25">
      <c r="A351" s="7">
        <v>349</v>
      </c>
      <c r="B351" s="6" t="s">
        <v>130</v>
      </c>
      <c r="C351" s="7">
        <v>4185749</v>
      </c>
      <c r="D351" s="23" t="s">
        <v>131</v>
      </c>
      <c r="E351" s="6" t="s">
        <v>132</v>
      </c>
      <c r="F351" s="26" t="s">
        <v>20</v>
      </c>
      <c r="G351" s="6" t="s">
        <v>216</v>
      </c>
      <c r="H351" s="22">
        <v>59.16</v>
      </c>
      <c r="I351" s="9">
        <v>5</v>
      </c>
      <c r="J351" s="22">
        <f t="shared" si="4"/>
        <v>295.79999999999995</v>
      </c>
      <c r="K351" s="9">
        <f t="array" ref="K351">QUARTILE(IF($F$3:$F$1460=$F351,$H$3:$H$1460),1)</f>
        <v>22.082500000000003</v>
      </c>
      <c r="L351" s="9">
        <f t="array" ref="L351">QUARTILE(IF($F$3:$F$1460=$F351,$H$3:$H$1460),2)</f>
        <v>31.15</v>
      </c>
      <c r="M351" s="9">
        <f t="array" ref="M351">QUARTILE(IF($F$3:$F$1460=$F351,$H$3:$H$1460),3)</f>
        <v>48.125</v>
      </c>
    </row>
    <row r="352" spans="1:13" x14ac:dyDescent="0.25">
      <c r="A352" s="7">
        <v>350</v>
      </c>
      <c r="B352" s="6" t="s">
        <v>130</v>
      </c>
      <c r="C352" s="7">
        <v>4185749</v>
      </c>
      <c r="D352" s="23" t="s">
        <v>131</v>
      </c>
      <c r="E352" s="6" t="s">
        <v>132</v>
      </c>
      <c r="F352" s="26" t="s">
        <v>20</v>
      </c>
      <c r="G352" s="6" t="s">
        <v>217</v>
      </c>
      <c r="H352" s="22">
        <v>24.71</v>
      </c>
      <c r="I352" s="9">
        <v>10</v>
      </c>
      <c r="J352" s="22">
        <f t="shared" si="4"/>
        <v>247.10000000000002</v>
      </c>
      <c r="K352" s="9">
        <f t="array" ref="K352">QUARTILE(IF($F$3:$F$1460=$F352,$H$3:$H$1460),1)</f>
        <v>22.082500000000003</v>
      </c>
      <c r="L352" s="9">
        <f t="array" ref="L352">QUARTILE(IF($F$3:$F$1460=$F352,$H$3:$H$1460),2)</f>
        <v>31.15</v>
      </c>
      <c r="M352" s="9">
        <f t="array" ref="M352">QUARTILE(IF($F$3:$F$1460=$F352,$H$3:$H$1460),3)</f>
        <v>48.125</v>
      </c>
    </row>
    <row r="353" spans="1:13" x14ac:dyDescent="0.25">
      <c r="A353" s="7">
        <v>351</v>
      </c>
      <c r="B353" s="6" t="s">
        <v>130</v>
      </c>
      <c r="C353" s="7">
        <v>4185749</v>
      </c>
      <c r="D353" s="23" t="s">
        <v>131</v>
      </c>
      <c r="E353" s="6" t="s">
        <v>132</v>
      </c>
      <c r="F353" s="26" t="s">
        <v>20</v>
      </c>
      <c r="G353" s="6" t="s">
        <v>218</v>
      </c>
      <c r="H353" s="22">
        <v>16.04</v>
      </c>
      <c r="I353" s="9">
        <v>5</v>
      </c>
      <c r="J353" s="22">
        <f t="shared" si="4"/>
        <v>80.199999999999989</v>
      </c>
      <c r="K353" s="9">
        <f t="array" ref="K353">QUARTILE(IF($F$3:$F$1460=$F353,$H$3:$H$1460),1)</f>
        <v>22.082500000000003</v>
      </c>
      <c r="L353" s="9">
        <f t="array" ref="L353">QUARTILE(IF($F$3:$F$1460=$F353,$H$3:$H$1460),2)</f>
        <v>31.15</v>
      </c>
      <c r="M353" s="9">
        <f t="array" ref="M353">QUARTILE(IF($F$3:$F$1460=$F353,$H$3:$H$1460),3)</f>
        <v>48.125</v>
      </c>
    </row>
    <row r="354" spans="1:13" x14ac:dyDescent="0.25">
      <c r="A354" s="7">
        <v>352</v>
      </c>
      <c r="B354" s="6" t="s">
        <v>130</v>
      </c>
      <c r="C354" s="7">
        <v>4185749</v>
      </c>
      <c r="D354" s="23" t="s">
        <v>131</v>
      </c>
      <c r="E354" s="6" t="s">
        <v>132</v>
      </c>
      <c r="F354" s="26" t="s">
        <v>20</v>
      </c>
      <c r="G354" s="6" t="s">
        <v>219</v>
      </c>
      <c r="H354" s="22">
        <v>33.380000000000003</v>
      </c>
      <c r="I354" s="9">
        <v>5</v>
      </c>
      <c r="J354" s="22">
        <f t="shared" si="4"/>
        <v>166.9</v>
      </c>
      <c r="K354" s="9">
        <f t="array" ref="K354">QUARTILE(IF($F$3:$F$1460=$F354,$H$3:$H$1460),1)</f>
        <v>22.082500000000003</v>
      </c>
      <c r="L354" s="9">
        <f t="array" ref="L354">QUARTILE(IF($F$3:$F$1460=$F354,$H$3:$H$1460),2)</f>
        <v>31.15</v>
      </c>
      <c r="M354" s="9">
        <f t="array" ref="M354">QUARTILE(IF($F$3:$F$1460=$F354,$H$3:$H$1460),3)</f>
        <v>48.125</v>
      </c>
    </row>
    <row r="355" spans="1:13" x14ac:dyDescent="0.25">
      <c r="A355" s="7">
        <v>353</v>
      </c>
      <c r="B355" s="6" t="s">
        <v>130</v>
      </c>
      <c r="C355" s="7">
        <v>4185749</v>
      </c>
      <c r="D355" s="23" t="s">
        <v>131</v>
      </c>
      <c r="E355" s="6" t="s">
        <v>132</v>
      </c>
      <c r="F355" s="26" t="s">
        <v>20</v>
      </c>
      <c r="G355" s="6" t="s">
        <v>220</v>
      </c>
      <c r="H355" s="22">
        <v>16.670000000000002</v>
      </c>
      <c r="I355" s="9">
        <v>5</v>
      </c>
      <c r="J355" s="22">
        <f t="shared" si="4"/>
        <v>83.350000000000009</v>
      </c>
      <c r="K355" s="9">
        <f t="array" ref="K355">QUARTILE(IF($F$3:$F$1460=$F355,$H$3:$H$1460),1)</f>
        <v>22.082500000000003</v>
      </c>
      <c r="L355" s="9">
        <f t="array" ref="L355">QUARTILE(IF($F$3:$F$1460=$F355,$H$3:$H$1460),2)</f>
        <v>31.15</v>
      </c>
      <c r="M355" s="9">
        <f t="array" ref="M355">QUARTILE(IF($F$3:$F$1460=$F355,$H$3:$H$1460),3)</f>
        <v>48.125</v>
      </c>
    </row>
    <row r="356" spans="1:13" x14ac:dyDescent="0.25">
      <c r="A356" s="7">
        <v>354</v>
      </c>
      <c r="B356" s="6" t="s">
        <v>130</v>
      </c>
      <c r="C356" s="7">
        <v>4185749</v>
      </c>
      <c r="D356" s="23" t="s">
        <v>131</v>
      </c>
      <c r="E356" s="6" t="s">
        <v>132</v>
      </c>
      <c r="F356" s="26" t="s">
        <v>20</v>
      </c>
      <c r="G356" s="6" t="s">
        <v>221</v>
      </c>
      <c r="H356" s="22">
        <v>30.8</v>
      </c>
      <c r="I356" s="9">
        <v>5</v>
      </c>
      <c r="J356" s="22">
        <f t="shared" si="4"/>
        <v>154</v>
      </c>
      <c r="K356" s="9">
        <f t="array" ref="K356">QUARTILE(IF($F$3:$F$1460=$F356,$H$3:$H$1460),1)</f>
        <v>22.082500000000003</v>
      </c>
      <c r="L356" s="9">
        <f t="array" ref="L356">QUARTILE(IF($F$3:$F$1460=$F356,$H$3:$H$1460),2)</f>
        <v>31.15</v>
      </c>
      <c r="M356" s="9">
        <f t="array" ref="M356">QUARTILE(IF($F$3:$F$1460=$F356,$H$3:$H$1460),3)</f>
        <v>48.125</v>
      </c>
    </row>
    <row r="357" spans="1:13" x14ac:dyDescent="0.25">
      <c r="A357" s="7">
        <v>355</v>
      </c>
      <c r="B357" s="6" t="s">
        <v>130</v>
      </c>
      <c r="C357" s="7">
        <v>4185749</v>
      </c>
      <c r="D357" s="23" t="s">
        <v>131</v>
      </c>
      <c r="E357" s="6" t="s">
        <v>132</v>
      </c>
      <c r="F357" s="26" t="s">
        <v>20</v>
      </c>
      <c r="G357" s="6" t="s">
        <v>222</v>
      </c>
      <c r="H357" s="22">
        <v>61.08</v>
      </c>
      <c r="I357" s="9">
        <v>5</v>
      </c>
      <c r="J357" s="22">
        <f t="shared" si="4"/>
        <v>305.39999999999998</v>
      </c>
      <c r="K357" s="9">
        <f t="array" ref="K357">QUARTILE(IF($F$3:$F$1460=$F357,$H$3:$H$1460),1)</f>
        <v>22.082500000000003</v>
      </c>
      <c r="L357" s="9">
        <f t="array" ref="L357">QUARTILE(IF($F$3:$F$1460=$F357,$H$3:$H$1460),2)</f>
        <v>31.15</v>
      </c>
      <c r="M357" s="9">
        <f t="array" ref="M357">QUARTILE(IF($F$3:$F$1460=$F357,$H$3:$H$1460),3)</f>
        <v>48.125</v>
      </c>
    </row>
    <row r="358" spans="1:13" x14ac:dyDescent="0.25">
      <c r="A358" s="7">
        <v>356</v>
      </c>
      <c r="B358" s="6" t="s">
        <v>130</v>
      </c>
      <c r="C358" s="7">
        <v>4185749</v>
      </c>
      <c r="D358" s="23" t="s">
        <v>131</v>
      </c>
      <c r="E358" s="6" t="s">
        <v>132</v>
      </c>
      <c r="F358" s="21" t="s">
        <v>30</v>
      </c>
      <c r="G358" s="6" t="s">
        <v>223</v>
      </c>
      <c r="H358" s="22">
        <v>45.53</v>
      </c>
      <c r="I358" s="9">
        <v>5</v>
      </c>
      <c r="J358" s="22">
        <f t="shared" si="4"/>
        <v>227.65</v>
      </c>
      <c r="K358" s="9">
        <f t="array" ref="K358">QUARTILE(IF($F$3:$F$1460=$F358,$H$3:$H$1460),1)</f>
        <v>47.47</v>
      </c>
      <c r="L358" s="9">
        <f t="array" ref="L358">QUARTILE(IF($F$3:$F$1460=$F358,$H$3:$H$1460),2)</f>
        <v>86.69</v>
      </c>
      <c r="M358" s="9">
        <f t="array" ref="M358">QUARTILE(IF($F$3:$F$1460=$F358,$H$3:$H$1460),3)</f>
        <v>146.42500000000001</v>
      </c>
    </row>
    <row r="359" spans="1:13" x14ac:dyDescent="0.25">
      <c r="A359" s="7">
        <v>357</v>
      </c>
      <c r="B359" s="6" t="s">
        <v>130</v>
      </c>
      <c r="C359" s="7">
        <v>4185749</v>
      </c>
      <c r="D359" s="23" t="s">
        <v>131</v>
      </c>
      <c r="E359" s="6" t="s">
        <v>132</v>
      </c>
      <c r="F359" s="21" t="s">
        <v>30</v>
      </c>
      <c r="G359" s="6" t="s">
        <v>224</v>
      </c>
      <c r="H359" s="22">
        <v>86.69</v>
      </c>
      <c r="I359" s="9">
        <v>5</v>
      </c>
      <c r="J359" s="22">
        <f t="shared" si="4"/>
        <v>433.45</v>
      </c>
      <c r="K359" s="9">
        <f t="array" ref="K359">QUARTILE(IF($F$3:$F$1460=$F359,$H$3:$H$1460),1)</f>
        <v>47.47</v>
      </c>
      <c r="L359" s="9">
        <f t="array" ref="L359">QUARTILE(IF($F$3:$F$1460=$F359,$H$3:$H$1460),2)</f>
        <v>86.69</v>
      </c>
      <c r="M359" s="9">
        <f t="array" ref="M359">QUARTILE(IF($F$3:$F$1460=$F359,$H$3:$H$1460),3)</f>
        <v>146.42500000000001</v>
      </c>
    </row>
    <row r="360" spans="1:13" x14ac:dyDescent="0.25">
      <c r="A360" s="7">
        <v>358</v>
      </c>
      <c r="B360" s="6" t="s">
        <v>130</v>
      </c>
      <c r="C360" s="7">
        <v>4185749</v>
      </c>
      <c r="D360" s="23" t="s">
        <v>131</v>
      </c>
      <c r="E360" s="6" t="s">
        <v>132</v>
      </c>
      <c r="F360" s="21" t="s">
        <v>30</v>
      </c>
      <c r="G360" s="6" t="s">
        <v>225</v>
      </c>
      <c r="H360" s="22">
        <v>691.12</v>
      </c>
      <c r="I360" s="9">
        <v>5</v>
      </c>
      <c r="J360" s="22">
        <f t="shared" si="4"/>
        <v>3455.6</v>
      </c>
      <c r="K360" s="9">
        <f t="array" ref="K360">QUARTILE(IF($F$3:$F$1460=$F360,$H$3:$H$1460),1)</f>
        <v>47.47</v>
      </c>
      <c r="L360" s="9">
        <f t="array" ref="L360">QUARTILE(IF($F$3:$F$1460=$F360,$H$3:$H$1460),2)</f>
        <v>86.69</v>
      </c>
      <c r="M360" s="9">
        <f t="array" ref="M360">QUARTILE(IF($F$3:$F$1460=$F360,$H$3:$H$1460),3)</f>
        <v>146.42500000000001</v>
      </c>
    </row>
    <row r="361" spans="1:13" x14ac:dyDescent="0.25">
      <c r="A361" s="7">
        <v>359</v>
      </c>
      <c r="B361" s="6" t="s">
        <v>130</v>
      </c>
      <c r="C361" s="7">
        <v>4185749</v>
      </c>
      <c r="D361" s="23" t="s">
        <v>131</v>
      </c>
      <c r="E361" s="6" t="s">
        <v>132</v>
      </c>
      <c r="F361" s="21" t="s">
        <v>68</v>
      </c>
      <c r="G361" s="45" t="s">
        <v>310</v>
      </c>
      <c r="H361" s="22">
        <v>1051.8900000000001</v>
      </c>
      <c r="I361" s="9">
        <v>2</v>
      </c>
      <c r="J361" s="22">
        <f t="shared" si="4"/>
        <v>2103.7800000000002</v>
      </c>
      <c r="K361" s="9">
        <f t="array" ref="K361">QUARTILE(IF($F$3:$F$1460=$F361,$H$3:$H$1460),1)</f>
        <v>2032</v>
      </c>
      <c r="L361" s="9">
        <f t="array" ref="L361">QUARTILE(IF($F$3:$F$1460=$F361,$H$3:$H$1460),2)</f>
        <v>19360</v>
      </c>
      <c r="M361" s="9">
        <f t="array" ref="M361">QUARTILE(IF($F$3:$F$1460=$F361,$H$3:$H$1460),3)</f>
        <v>87628.37</v>
      </c>
    </row>
    <row r="362" spans="1:13" x14ac:dyDescent="0.25">
      <c r="A362" s="7">
        <v>360</v>
      </c>
      <c r="B362" s="6" t="s">
        <v>130</v>
      </c>
      <c r="C362" s="7">
        <v>4185749</v>
      </c>
      <c r="D362" s="23" t="s">
        <v>131</v>
      </c>
      <c r="E362" s="6" t="s">
        <v>132</v>
      </c>
      <c r="F362" s="21" t="s">
        <v>68</v>
      </c>
      <c r="G362" s="45" t="s">
        <v>311</v>
      </c>
      <c r="H362" s="22">
        <v>2137.31</v>
      </c>
      <c r="I362" s="9">
        <v>1</v>
      </c>
      <c r="J362" s="22">
        <f t="shared" si="4"/>
        <v>2137.31</v>
      </c>
      <c r="K362" s="9">
        <f t="array" ref="K362">QUARTILE(IF($F$3:$F$1460=$F362,$H$3:$H$1460),1)</f>
        <v>2032</v>
      </c>
      <c r="L362" s="9">
        <f t="array" ref="L362">QUARTILE(IF($F$3:$F$1460=$F362,$H$3:$H$1460),2)</f>
        <v>19360</v>
      </c>
      <c r="M362" s="9">
        <f t="array" ref="M362">QUARTILE(IF($F$3:$F$1460=$F362,$H$3:$H$1460),3)</f>
        <v>87628.37</v>
      </c>
    </row>
    <row r="363" spans="1:13" x14ac:dyDescent="0.25">
      <c r="A363" s="7">
        <v>361</v>
      </c>
      <c r="B363" s="6" t="s">
        <v>130</v>
      </c>
      <c r="C363" s="7">
        <v>4185749</v>
      </c>
      <c r="D363" s="23" t="s">
        <v>131</v>
      </c>
      <c r="E363" s="6" t="s">
        <v>132</v>
      </c>
      <c r="F363" s="21" t="s">
        <v>68</v>
      </c>
      <c r="G363" s="45" t="s">
        <v>312</v>
      </c>
      <c r="H363" s="22">
        <v>6274.36</v>
      </c>
      <c r="I363" s="9">
        <v>1</v>
      </c>
      <c r="J363" s="22">
        <f t="shared" si="4"/>
        <v>6274.36</v>
      </c>
      <c r="K363" s="9">
        <f t="array" ref="K363">QUARTILE(IF($F$3:$F$1460=$F363,$H$3:$H$1460),1)</f>
        <v>2032</v>
      </c>
      <c r="L363" s="9">
        <f t="array" ref="L363">QUARTILE(IF($F$3:$F$1460=$F363,$H$3:$H$1460),2)</f>
        <v>19360</v>
      </c>
      <c r="M363" s="9">
        <f t="array" ref="M363">QUARTILE(IF($F$3:$F$1460=$F363,$H$3:$H$1460),3)</f>
        <v>87628.37</v>
      </c>
    </row>
    <row r="364" spans="1:13" x14ac:dyDescent="0.25">
      <c r="A364" s="7">
        <v>362</v>
      </c>
      <c r="B364" s="6" t="s">
        <v>130</v>
      </c>
      <c r="C364" s="7">
        <v>4185749</v>
      </c>
      <c r="D364" s="23" t="s">
        <v>131</v>
      </c>
      <c r="E364" s="6" t="s">
        <v>132</v>
      </c>
      <c r="F364" s="21" t="s">
        <v>68</v>
      </c>
      <c r="G364" s="45" t="s">
        <v>313</v>
      </c>
      <c r="H364" s="22">
        <v>50418.29</v>
      </c>
      <c r="I364" s="9">
        <v>1</v>
      </c>
      <c r="J364" s="22">
        <f t="shared" si="4"/>
        <v>50418.29</v>
      </c>
      <c r="K364" s="9">
        <f t="array" ref="K364">QUARTILE(IF($F$3:$F$1460=$F364,$H$3:$H$1460),1)</f>
        <v>2032</v>
      </c>
      <c r="L364" s="9">
        <f t="array" ref="L364">QUARTILE(IF($F$3:$F$1460=$F364,$H$3:$H$1460),2)</f>
        <v>19360</v>
      </c>
      <c r="M364" s="9">
        <f t="array" ref="M364">QUARTILE(IF($F$3:$F$1460=$F364,$H$3:$H$1460),3)</f>
        <v>87628.37</v>
      </c>
    </row>
    <row r="365" spans="1:13" x14ac:dyDescent="0.25">
      <c r="A365" s="7">
        <v>363</v>
      </c>
      <c r="B365" s="6" t="s">
        <v>130</v>
      </c>
      <c r="C365" s="7">
        <v>4185749</v>
      </c>
      <c r="D365" s="23" t="s">
        <v>131</v>
      </c>
      <c r="E365" s="6" t="s">
        <v>132</v>
      </c>
      <c r="F365" s="21" t="s">
        <v>75</v>
      </c>
      <c r="G365" s="45" t="s">
        <v>314</v>
      </c>
      <c r="H365" s="22">
        <v>1203.04</v>
      </c>
      <c r="I365" s="9">
        <v>4</v>
      </c>
      <c r="J365" s="22">
        <f t="shared" si="4"/>
        <v>4812.16</v>
      </c>
      <c r="K365" s="9">
        <f t="array" ref="K365">QUARTILE(IF($F$3:$F$1460=$F365,$H$3:$H$1460),1)</f>
        <v>7209.15</v>
      </c>
      <c r="L365" s="9">
        <f t="array" ref="L365">QUARTILE(IF($F$3:$F$1460=$F365,$H$3:$H$1460),2)</f>
        <v>15534.78</v>
      </c>
      <c r="M365" s="9">
        <f t="array" ref="M365">QUARTILE(IF($F$3:$F$1460=$F365,$H$3:$H$1460),3)</f>
        <v>29950.799999999999</v>
      </c>
    </row>
    <row r="366" spans="1:13" x14ac:dyDescent="0.25">
      <c r="A366" s="7">
        <v>364</v>
      </c>
      <c r="B366" s="6" t="s">
        <v>130</v>
      </c>
      <c r="C366" s="7">
        <v>4185749</v>
      </c>
      <c r="D366" s="23" t="s">
        <v>131</v>
      </c>
      <c r="E366" s="6" t="s">
        <v>132</v>
      </c>
      <c r="F366" s="21" t="s">
        <v>75</v>
      </c>
      <c r="G366" s="45" t="s">
        <v>315</v>
      </c>
      <c r="H366" s="22">
        <v>6248.29</v>
      </c>
      <c r="I366" s="9">
        <v>3</v>
      </c>
      <c r="J366" s="22">
        <f t="shared" si="4"/>
        <v>18744.87</v>
      </c>
      <c r="K366" s="9">
        <f t="array" ref="K366">QUARTILE(IF($F$3:$F$1460=$F366,$H$3:$H$1460),1)</f>
        <v>7209.15</v>
      </c>
      <c r="L366" s="9">
        <f t="array" ref="L366">QUARTILE(IF($F$3:$F$1460=$F366,$H$3:$H$1460),2)</f>
        <v>15534.78</v>
      </c>
      <c r="M366" s="9">
        <f t="array" ref="M366">QUARTILE(IF($F$3:$F$1460=$F366,$H$3:$H$1460),3)</f>
        <v>29950.799999999999</v>
      </c>
    </row>
    <row r="367" spans="1:13" x14ac:dyDescent="0.25">
      <c r="A367" s="7">
        <v>365</v>
      </c>
      <c r="B367" s="6" t="s">
        <v>130</v>
      </c>
      <c r="C367" s="7">
        <v>4185749</v>
      </c>
      <c r="D367" s="23" t="s">
        <v>131</v>
      </c>
      <c r="E367" s="6" t="s">
        <v>132</v>
      </c>
      <c r="F367" s="21" t="s">
        <v>75</v>
      </c>
      <c r="G367" s="45" t="s">
        <v>316</v>
      </c>
      <c r="H367" s="22">
        <v>10108.18</v>
      </c>
      <c r="I367" s="9">
        <v>1</v>
      </c>
      <c r="J367" s="22">
        <f t="shared" si="4"/>
        <v>10108.18</v>
      </c>
      <c r="K367" s="9">
        <f t="array" ref="K367">QUARTILE(IF($F$3:$F$1460=$F367,$H$3:$H$1460),1)</f>
        <v>7209.15</v>
      </c>
      <c r="L367" s="9">
        <f t="array" ref="L367">QUARTILE(IF($F$3:$F$1460=$F367,$H$3:$H$1460),2)</f>
        <v>15534.78</v>
      </c>
      <c r="M367" s="9">
        <f t="array" ref="M367">QUARTILE(IF($F$3:$F$1460=$F367,$H$3:$H$1460),3)</f>
        <v>29950.799999999999</v>
      </c>
    </row>
    <row r="368" spans="1:13" x14ac:dyDescent="0.25">
      <c r="A368" s="7">
        <v>366</v>
      </c>
      <c r="B368" s="6" t="s">
        <v>130</v>
      </c>
      <c r="C368" s="7">
        <v>4185749</v>
      </c>
      <c r="D368" s="23" t="s">
        <v>131</v>
      </c>
      <c r="E368" s="6" t="s">
        <v>132</v>
      </c>
      <c r="F368" s="21" t="s">
        <v>75</v>
      </c>
      <c r="G368" s="45" t="s">
        <v>317</v>
      </c>
      <c r="H368" s="22">
        <v>40494.6</v>
      </c>
      <c r="I368" s="9">
        <v>1</v>
      </c>
      <c r="J368" s="22">
        <f t="shared" si="4"/>
        <v>40494.6</v>
      </c>
      <c r="K368" s="9">
        <f t="array" ref="K368">QUARTILE(IF($F$3:$F$1460=$F368,$H$3:$H$1460),1)</f>
        <v>7209.15</v>
      </c>
      <c r="L368" s="9">
        <f t="array" ref="L368">QUARTILE(IF($F$3:$F$1460=$F368,$H$3:$H$1460),2)</f>
        <v>15534.78</v>
      </c>
      <c r="M368" s="9">
        <f t="array" ref="M368">QUARTILE(IF($F$3:$F$1460=$F368,$H$3:$H$1460),3)</f>
        <v>29950.799999999999</v>
      </c>
    </row>
    <row r="369" spans="1:13" x14ac:dyDescent="0.25">
      <c r="A369" s="7">
        <v>367</v>
      </c>
      <c r="B369" s="6" t="s">
        <v>130</v>
      </c>
      <c r="C369" s="7">
        <v>4185749</v>
      </c>
      <c r="D369" s="23" t="s">
        <v>131</v>
      </c>
      <c r="E369" s="6" t="s">
        <v>132</v>
      </c>
      <c r="F369" s="21" t="s">
        <v>67</v>
      </c>
      <c r="G369" s="6" t="s">
        <v>234</v>
      </c>
      <c r="H369" s="22">
        <v>2651.33</v>
      </c>
      <c r="I369" s="9">
        <v>10</v>
      </c>
      <c r="J369" s="22">
        <f t="shared" si="4"/>
        <v>26513.3</v>
      </c>
      <c r="K369" s="9">
        <f t="array" ref="K369">QUARTILE(IF($F$3:$F$1460=$F369,$H$3:$H$1460),1)</f>
        <v>1759.125</v>
      </c>
      <c r="L369" s="9">
        <f t="array" ref="L369">QUARTILE(IF($F$3:$F$1460=$F369,$H$3:$H$1460),2)</f>
        <v>3923.7249999999999</v>
      </c>
      <c r="M369" s="9">
        <f t="array" ref="M369">QUARTILE(IF($F$3:$F$1460=$F369,$H$3:$H$1460),3)</f>
        <v>12062.504999999999</v>
      </c>
    </row>
    <row r="370" spans="1:13" x14ac:dyDescent="0.25">
      <c r="A370" s="7">
        <v>368</v>
      </c>
      <c r="B370" s="6" t="s">
        <v>130</v>
      </c>
      <c r="C370" s="7">
        <v>4185749</v>
      </c>
      <c r="D370" s="23" t="s">
        <v>131</v>
      </c>
      <c r="E370" s="6" t="s">
        <v>132</v>
      </c>
      <c r="F370" s="21" t="s">
        <v>67</v>
      </c>
      <c r="G370" s="6" t="s">
        <v>235</v>
      </c>
      <c r="H370" s="22">
        <v>2366.31</v>
      </c>
      <c r="I370" s="9">
        <v>10</v>
      </c>
      <c r="J370" s="22">
        <f t="shared" si="4"/>
        <v>23663.1</v>
      </c>
      <c r="K370" s="9">
        <f t="array" ref="K370">QUARTILE(IF($F$3:$F$1460=$F370,$H$3:$H$1460),1)</f>
        <v>1759.125</v>
      </c>
      <c r="L370" s="9">
        <f t="array" ref="L370">QUARTILE(IF($F$3:$F$1460=$F370,$H$3:$H$1460),2)</f>
        <v>3923.7249999999999</v>
      </c>
      <c r="M370" s="9">
        <f t="array" ref="M370">QUARTILE(IF($F$3:$F$1460=$F370,$H$3:$H$1460),3)</f>
        <v>12062.504999999999</v>
      </c>
    </row>
    <row r="371" spans="1:13" x14ac:dyDescent="0.25">
      <c r="A371" s="7">
        <v>369</v>
      </c>
      <c r="B371" s="6" t="s">
        <v>130</v>
      </c>
      <c r="C371" s="7">
        <v>4185749</v>
      </c>
      <c r="D371" s="23" t="s">
        <v>131</v>
      </c>
      <c r="E371" s="6" t="s">
        <v>132</v>
      </c>
      <c r="F371" s="21" t="s">
        <v>67</v>
      </c>
      <c r="G371" s="6" t="s">
        <v>236</v>
      </c>
      <c r="H371" s="22">
        <v>3897.45</v>
      </c>
      <c r="I371" s="9">
        <v>3</v>
      </c>
      <c r="J371" s="22">
        <f t="shared" si="4"/>
        <v>11692.349999999999</v>
      </c>
      <c r="K371" s="9">
        <f t="array" ref="K371">QUARTILE(IF($F$3:$F$1460=$F371,$H$3:$H$1460),1)</f>
        <v>1759.125</v>
      </c>
      <c r="L371" s="9">
        <f t="array" ref="L371">QUARTILE(IF($F$3:$F$1460=$F371,$H$3:$H$1460),2)</f>
        <v>3923.7249999999999</v>
      </c>
      <c r="M371" s="9">
        <f t="array" ref="M371">QUARTILE(IF($F$3:$F$1460=$F371,$H$3:$H$1460),3)</f>
        <v>12062.504999999999</v>
      </c>
    </row>
    <row r="372" spans="1:13" x14ac:dyDescent="0.25">
      <c r="A372" s="7">
        <v>370</v>
      </c>
      <c r="B372" s="6" t="s">
        <v>130</v>
      </c>
      <c r="C372" s="7">
        <v>4185749</v>
      </c>
      <c r="D372" s="23" t="s">
        <v>131</v>
      </c>
      <c r="E372" s="6" t="s">
        <v>132</v>
      </c>
      <c r="F372" s="21" t="s">
        <v>67</v>
      </c>
      <c r="G372" s="6" t="s">
        <v>237</v>
      </c>
      <c r="H372" s="22">
        <v>4513.88</v>
      </c>
      <c r="I372" s="9">
        <v>3</v>
      </c>
      <c r="J372" s="22">
        <f t="shared" si="4"/>
        <v>13541.64</v>
      </c>
      <c r="K372" s="9">
        <f t="array" ref="K372">QUARTILE(IF($F$3:$F$1460=$F372,$H$3:$H$1460),1)</f>
        <v>1759.125</v>
      </c>
      <c r="L372" s="9">
        <f t="array" ref="L372">QUARTILE(IF($F$3:$F$1460=$F372,$H$3:$H$1460),2)</f>
        <v>3923.7249999999999</v>
      </c>
      <c r="M372" s="9">
        <f t="array" ref="M372">QUARTILE(IF($F$3:$F$1460=$F372,$H$3:$H$1460),3)</f>
        <v>12062.504999999999</v>
      </c>
    </row>
    <row r="373" spans="1:13" x14ac:dyDescent="0.25">
      <c r="A373" s="7">
        <v>371</v>
      </c>
      <c r="B373" s="6" t="s">
        <v>130</v>
      </c>
      <c r="C373" s="7">
        <v>4185749</v>
      </c>
      <c r="D373" s="23" t="s">
        <v>131</v>
      </c>
      <c r="E373" s="6" t="s">
        <v>132</v>
      </c>
      <c r="F373" s="21" t="s">
        <v>67</v>
      </c>
      <c r="G373" s="6" t="s">
        <v>238</v>
      </c>
      <c r="H373" s="22">
        <v>18534.98</v>
      </c>
      <c r="I373" s="9">
        <v>2</v>
      </c>
      <c r="J373" s="22">
        <f t="shared" si="4"/>
        <v>37069.96</v>
      </c>
      <c r="K373" s="9">
        <f t="array" ref="K373">QUARTILE(IF($F$3:$F$1460=$F373,$H$3:$H$1460),1)</f>
        <v>1759.125</v>
      </c>
      <c r="L373" s="9">
        <f t="array" ref="L373">QUARTILE(IF($F$3:$F$1460=$F373,$H$3:$H$1460),2)</f>
        <v>3923.7249999999999</v>
      </c>
      <c r="M373" s="9">
        <f t="array" ref="M373">QUARTILE(IF($F$3:$F$1460=$F373,$H$3:$H$1460),3)</f>
        <v>12062.504999999999</v>
      </c>
    </row>
    <row r="374" spans="1:13" x14ac:dyDescent="0.25">
      <c r="A374" s="7">
        <v>372</v>
      </c>
      <c r="B374" s="6" t="s">
        <v>130</v>
      </c>
      <c r="C374" s="7">
        <v>4185749</v>
      </c>
      <c r="D374" s="23" t="s">
        <v>131</v>
      </c>
      <c r="E374" s="6" t="s">
        <v>132</v>
      </c>
      <c r="F374" s="21" t="s">
        <v>67</v>
      </c>
      <c r="G374" s="6" t="s">
        <v>239</v>
      </c>
      <c r="H374" s="22">
        <v>27363.9</v>
      </c>
      <c r="I374" s="9">
        <v>1</v>
      </c>
      <c r="J374" s="22">
        <f t="shared" si="4"/>
        <v>27363.9</v>
      </c>
      <c r="K374" s="9">
        <f t="array" ref="K374">QUARTILE(IF($F$3:$F$1460=$F374,$H$3:$H$1460),1)</f>
        <v>1759.125</v>
      </c>
      <c r="L374" s="9">
        <f t="array" ref="L374">QUARTILE(IF($F$3:$F$1460=$F374,$H$3:$H$1460),2)</f>
        <v>3923.7249999999999</v>
      </c>
      <c r="M374" s="9">
        <f t="array" ref="M374">QUARTILE(IF($F$3:$F$1460=$F374,$H$3:$H$1460),3)</f>
        <v>12062.504999999999</v>
      </c>
    </row>
    <row r="375" spans="1:13" x14ac:dyDescent="0.25">
      <c r="A375" s="7">
        <v>373</v>
      </c>
      <c r="B375" s="6" t="s">
        <v>130</v>
      </c>
      <c r="C375" s="7">
        <v>4185749</v>
      </c>
      <c r="D375" s="23" t="s">
        <v>131</v>
      </c>
      <c r="E375" s="6" t="s">
        <v>132</v>
      </c>
      <c r="F375" s="21" t="s">
        <v>36</v>
      </c>
      <c r="G375" s="6" t="s">
        <v>240</v>
      </c>
      <c r="H375" s="22">
        <v>155</v>
      </c>
      <c r="I375" s="9">
        <v>10</v>
      </c>
      <c r="J375" s="22">
        <f t="shared" si="4"/>
        <v>1550</v>
      </c>
      <c r="K375" s="9">
        <f t="array" ref="K375">QUARTILE(IF($F$3:$F$1460=$F375,$H$3:$H$1460),1)</f>
        <v>88.21</v>
      </c>
      <c r="L375" s="9">
        <f t="array" ref="L375">QUARTILE(IF($F$3:$F$1460=$F375,$H$3:$H$1460),2)</f>
        <v>134.57</v>
      </c>
      <c r="M375" s="9">
        <f t="array" ref="M375">QUARTILE(IF($F$3:$F$1460=$F375,$H$3:$H$1460),3)</f>
        <v>252.7</v>
      </c>
    </row>
    <row r="376" spans="1:13" x14ac:dyDescent="0.25">
      <c r="A376" s="7">
        <v>374</v>
      </c>
      <c r="B376" s="6" t="s">
        <v>130</v>
      </c>
      <c r="C376" s="7">
        <v>4185749</v>
      </c>
      <c r="D376" s="23" t="s">
        <v>131</v>
      </c>
      <c r="E376" s="6" t="s">
        <v>132</v>
      </c>
      <c r="F376" s="21" t="s">
        <v>36</v>
      </c>
      <c r="G376" s="6" t="s">
        <v>241</v>
      </c>
      <c r="H376" s="22">
        <v>77.25</v>
      </c>
      <c r="I376" s="9">
        <v>6</v>
      </c>
      <c r="J376" s="22">
        <f t="shared" si="4"/>
        <v>463.5</v>
      </c>
      <c r="K376" s="9">
        <f t="array" ref="K376">QUARTILE(IF($F$3:$F$1460=$F376,$H$3:$H$1460),1)</f>
        <v>88.21</v>
      </c>
      <c r="L376" s="9">
        <f t="array" ref="L376">QUARTILE(IF($F$3:$F$1460=$F376,$H$3:$H$1460),2)</f>
        <v>134.57</v>
      </c>
      <c r="M376" s="9">
        <f t="array" ref="M376">QUARTILE(IF($F$3:$F$1460=$F376,$H$3:$H$1460),3)</f>
        <v>252.7</v>
      </c>
    </row>
    <row r="377" spans="1:13" x14ac:dyDescent="0.25">
      <c r="A377" s="7">
        <v>375</v>
      </c>
      <c r="B377" s="6" t="s">
        <v>130</v>
      </c>
      <c r="C377" s="7">
        <v>4185749</v>
      </c>
      <c r="D377" s="23" t="s">
        <v>131</v>
      </c>
      <c r="E377" s="6" t="s">
        <v>132</v>
      </c>
      <c r="F377" s="21" t="s">
        <v>36</v>
      </c>
      <c r="G377" s="6" t="s">
        <v>242</v>
      </c>
      <c r="H377" s="22">
        <v>88.32</v>
      </c>
      <c r="I377" s="9">
        <v>6</v>
      </c>
      <c r="J377" s="22">
        <f t="shared" si="4"/>
        <v>529.91999999999996</v>
      </c>
      <c r="K377" s="9">
        <f t="array" ref="K377">QUARTILE(IF($F$3:$F$1460=$F377,$H$3:$H$1460),1)</f>
        <v>88.21</v>
      </c>
      <c r="L377" s="9">
        <f t="array" ref="L377">QUARTILE(IF($F$3:$F$1460=$F377,$H$3:$H$1460),2)</f>
        <v>134.57</v>
      </c>
      <c r="M377" s="9">
        <f t="array" ref="M377">QUARTILE(IF($F$3:$F$1460=$F377,$H$3:$H$1460),3)</f>
        <v>252.7</v>
      </c>
    </row>
    <row r="378" spans="1:13" x14ac:dyDescent="0.25">
      <c r="A378" s="7">
        <v>376</v>
      </c>
      <c r="B378" s="6" t="s">
        <v>130</v>
      </c>
      <c r="C378" s="7">
        <v>4185749</v>
      </c>
      <c r="D378" s="23" t="s">
        <v>131</v>
      </c>
      <c r="E378" s="6" t="s">
        <v>132</v>
      </c>
      <c r="F378" s="21" t="s">
        <v>36</v>
      </c>
      <c r="G378" s="6" t="s">
        <v>294</v>
      </c>
      <c r="H378" s="22">
        <v>125.21</v>
      </c>
      <c r="I378" s="9">
        <v>10</v>
      </c>
      <c r="J378" s="22">
        <f t="shared" si="4"/>
        <v>1252.0999999999999</v>
      </c>
      <c r="K378" s="9">
        <f t="array" ref="K378">QUARTILE(IF($F$3:$F$1460=$F378,$H$3:$H$1460),1)</f>
        <v>88.21</v>
      </c>
      <c r="L378" s="9">
        <f t="array" ref="L378">QUARTILE(IF($F$3:$F$1460=$F378,$H$3:$H$1460),2)</f>
        <v>134.57</v>
      </c>
      <c r="M378" s="9">
        <f t="array" ref="M378">QUARTILE(IF($F$3:$F$1460=$F378,$H$3:$H$1460),3)</f>
        <v>252.7</v>
      </c>
    </row>
    <row r="379" spans="1:13" x14ac:dyDescent="0.25">
      <c r="A379" s="7">
        <v>377</v>
      </c>
      <c r="B379" s="6" t="s">
        <v>130</v>
      </c>
      <c r="C379" s="7">
        <v>4185749</v>
      </c>
      <c r="D379" s="23" t="s">
        <v>131</v>
      </c>
      <c r="E379" s="6" t="s">
        <v>132</v>
      </c>
      <c r="F379" s="21" t="s">
        <v>36</v>
      </c>
      <c r="G379" s="6" t="s">
        <v>244</v>
      </c>
      <c r="H379" s="22">
        <v>71.14</v>
      </c>
      <c r="I379" s="9">
        <v>4</v>
      </c>
      <c r="J379" s="22">
        <f t="shared" si="4"/>
        <v>284.56</v>
      </c>
      <c r="K379" s="9">
        <f t="array" ref="K379">QUARTILE(IF($F$3:$F$1460=$F379,$H$3:$H$1460),1)</f>
        <v>88.21</v>
      </c>
      <c r="L379" s="9">
        <f t="array" ref="L379">QUARTILE(IF($F$3:$F$1460=$F379,$H$3:$H$1460),2)</f>
        <v>134.57</v>
      </c>
      <c r="M379" s="9">
        <f t="array" ref="M379">QUARTILE(IF($F$3:$F$1460=$F379,$H$3:$H$1460),3)</f>
        <v>252.7</v>
      </c>
    </row>
    <row r="380" spans="1:13" x14ac:dyDescent="0.25">
      <c r="A380" s="7">
        <v>378</v>
      </c>
      <c r="B380" s="6" t="s">
        <v>130</v>
      </c>
      <c r="C380" s="7">
        <v>4185749</v>
      </c>
      <c r="D380" s="23" t="s">
        <v>131</v>
      </c>
      <c r="E380" s="6" t="s">
        <v>132</v>
      </c>
      <c r="F380" s="21" t="s">
        <v>32</v>
      </c>
      <c r="G380" s="45" t="s">
        <v>245</v>
      </c>
      <c r="H380" s="22">
        <v>43.81</v>
      </c>
      <c r="I380" s="9">
        <v>1</v>
      </c>
      <c r="J380" s="22">
        <f t="shared" ref="J380:J531" si="5">I380*H380</f>
        <v>43.81</v>
      </c>
      <c r="K380" s="9">
        <f t="array" ref="K380">QUARTILE(IF($F$3:$F$1460=$F380,$H$3:$H$1460),1)</f>
        <v>59.227499999999999</v>
      </c>
      <c r="L380" s="9">
        <f t="array" ref="L380">QUARTILE(IF($F$3:$F$1460=$F380,$H$3:$H$1460),2)</f>
        <v>332.14</v>
      </c>
      <c r="M380" s="9">
        <f t="array" ref="M380">QUARTILE(IF($F$3:$F$1460=$F380,$H$3:$H$1460),3)</f>
        <v>1331.8050000000001</v>
      </c>
    </row>
    <row r="381" spans="1:13" x14ac:dyDescent="0.25">
      <c r="A381" s="7">
        <v>379</v>
      </c>
      <c r="B381" s="6" t="s">
        <v>130</v>
      </c>
      <c r="C381" s="7">
        <v>4185749</v>
      </c>
      <c r="D381" s="23" t="s">
        <v>131</v>
      </c>
      <c r="E381" s="6" t="s">
        <v>132</v>
      </c>
      <c r="F381" s="21" t="s">
        <v>32</v>
      </c>
      <c r="G381" s="45" t="s">
        <v>246</v>
      </c>
      <c r="H381" s="22">
        <v>45.57</v>
      </c>
      <c r="I381" s="9">
        <v>1</v>
      </c>
      <c r="J381" s="22">
        <f t="shared" si="5"/>
        <v>45.57</v>
      </c>
      <c r="K381" s="9">
        <f t="array" ref="K381">QUARTILE(IF($F$3:$F$1460=$F381,$H$3:$H$1460),1)</f>
        <v>59.227499999999999</v>
      </c>
      <c r="L381" s="9">
        <f t="array" ref="L381">QUARTILE(IF($F$3:$F$1460=$F381,$H$3:$H$1460),2)</f>
        <v>332.14</v>
      </c>
      <c r="M381" s="9">
        <f t="array" ref="M381">QUARTILE(IF($F$3:$F$1460=$F381,$H$3:$H$1460),3)</f>
        <v>1331.8050000000001</v>
      </c>
    </row>
    <row r="382" spans="1:13" x14ac:dyDescent="0.25">
      <c r="A382" s="7">
        <v>380</v>
      </c>
      <c r="B382" s="6" t="s">
        <v>130</v>
      </c>
      <c r="C382" s="7">
        <v>4185749</v>
      </c>
      <c r="D382" s="23" t="s">
        <v>131</v>
      </c>
      <c r="E382" s="6" t="s">
        <v>132</v>
      </c>
      <c r="F382" s="21" t="s">
        <v>32</v>
      </c>
      <c r="G382" s="45" t="s">
        <v>247</v>
      </c>
      <c r="H382" s="22">
        <v>116.34</v>
      </c>
      <c r="I382" s="9">
        <v>1</v>
      </c>
      <c r="J382" s="22">
        <f t="shared" si="5"/>
        <v>116.34</v>
      </c>
      <c r="K382" s="9">
        <f t="array" ref="K382">QUARTILE(IF($F$3:$F$1460=$F382,$H$3:$H$1460),1)</f>
        <v>59.227499999999999</v>
      </c>
      <c r="L382" s="9">
        <f t="array" ref="L382">QUARTILE(IF($F$3:$F$1460=$F382,$H$3:$H$1460),2)</f>
        <v>332.14</v>
      </c>
      <c r="M382" s="9">
        <f t="array" ref="M382">QUARTILE(IF($F$3:$F$1460=$F382,$H$3:$H$1460),3)</f>
        <v>1331.8050000000001</v>
      </c>
    </row>
    <row r="383" spans="1:13" x14ac:dyDescent="0.25">
      <c r="A383" s="7">
        <v>381</v>
      </c>
      <c r="B383" s="6" t="s">
        <v>130</v>
      </c>
      <c r="C383" s="7">
        <v>4185749</v>
      </c>
      <c r="D383" s="23" t="s">
        <v>131</v>
      </c>
      <c r="E383" s="6" t="s">
        <v>132</v>
      </c>
      <c r="F383" s="21" t="s">
        <v>32</v>
      </c>
      <c r="G383" s="45" t="s">
        <v>248</v>
      </c>
      <c r="H383" s="22">
        <v>391.68</v>
      </c>
      <c r="I383" s="9">
        <v>1</v>
      </c>
      <c r="J383" s="22">
        <f t="shared" si="5"/>
        <v>391.68</v>
      </c>
      <c r="K383" s="9">
        <f t="array" ref="K383">QUARTILE(IF($F$3:$F$1460=$F383,$H$3:$H$1460),1)</f>
        <v>59.227499999999999</v>
      </c>
      <c r="L383" s="9">
        <f t="array" ref="L383">QUARTILE(IF($F$3:$F$1460=$F383,$H$3:$H$1460),2)</f>
        <v>332.14</v>
      </c>
      <c r="M383" s="9">
        <f t="array" ref="M383">QUARTILE(IF($F$3:$F$1460=$F383,$H$3:$H$1460),3)</f>
        <v>1331.8050000000001</v>
      </c>
    </row>
    <row r="384" spans="1:13" x14ac:dyDescent="0.25">
      <c r="A384" s="7">
        <v>382</v>
      </c>
      <c r="B384" s="6" t="s">
        <v>130</v>
      </c>
      <c r="C384" s="7">
        <v>4185749</v>
      </c>
      <c r="D384" s="23" t="s">
        <v>131</v>
      </c>
      <c r="E384" s="6" t="s">
        <v>132</v>
      </c>
      <c r="F384" s="21" t="s">
        <v>32</v>
      </c>
      <c r="G384" s="45" t="s">
        <v>249</v>
      </c>
      <c r="H384" s="22">
        <v>1095.21</v>
      </c>
      <c r="I384" s="9">
        <v>1</v>
      </c>
      <c r="J384" s="22">
        <f t="shared" si="5"/>
        <v>1095.21</v>
      </c>
      <c r="K384" s="9">
        <f t="array" ref="K384">QUARTILE(IF($F$3:$F$1460=$F384,$H$3:$H$1460),1)</f>
        <v>59.227499999999999</v>
      </c>
      <c r="L384" s="9">
        <f t="array" ref="L384">QUARTILE(IF($F$3:$F$1460=$F384,$H$3:$H$1460),2)</f>
        <v>332.14</v>
      </c>
      <c r="M384" s="9">
        <f t="array" ref="M384">QUARTILE(IF($F$3:$F$1460=$F384,$H$3:$H$1460),3)</f>
        <v>1331.8050000000001</v>
      </c>
    </row>
    <row r="385" spans="1:13" x14ac:dyDescent="0.25">
      <c r="A385" s="7">
        <v>383</v>
      </c>
      <c r="B385" s="6" t="s">
        <v>130</v>
      </c>
      <c r="C385" s="7">
        <v>4185749</v>
      </c>
      <c r="D385" s="23" t="s">
        <v>131</v>
      </c>
      <c r="E385" s="6" t="s">
        <v>132</v>
      </c>
      <c r="F385" s="21" t="s">
        <v>32</v>
      </c>
      <c r="G385" s="45" t="s">
        <v>250</v>
      </c>
      <c r="H385" s="22">
        <v>1950.63</v>
      </c>
      <c r="I385" s="9">
        <v>1</v>
      </c>
      <c r="J385" s="22">
        <f t="shared" si="5"/>
        <v>1950.63</v>
      </c>
      <c r="K385" s="9">
        <f t="array" ref="K385">QUARTILE(IF($F$3:$F$1460=$F385,$H$3:$H$1460),1)</f>
        <v>59.227499999999999</v>
      </c>
      <c r="L385" s="9">
        <f t="array" ref="L385">QUARTILE(IF($F$3:$F$1460=$F385,$H$3:$H$1460),2)</f>
        <v>332.14</v>
      </c>
      <c r="M385" s="9">
        <f t="array" ref="M385">QUARTILE(IF($F$3:$F$1460=$F385,$H$3:$H$1460),3)</f>
        <v>1331.8050000000001</v>
      </c>
    </row>
    <row r="386" spans="1:13" x14ac:dyDescent="0.25">
      <c r="A386" s="7">
        <v>384</v>
      </c>
      <c r="B386" s="6" t="s">
        <v>97</v>
      </c>
      <c r="C386" s="7">
        <v>5359822</v>
      </c>
      <c r="D386" s="23" t="s">
        <v>318</v>
      </c>
      <c r="E386" s="6" t="s">
        <v>319</v>
      </c>
      <c r="F386" s="21" t="s">
        <v>34</v>
      </c>
      <c r="G386" s="45" t="s">
        <v>320</v>
      </c>
      <c r="H386" s="22">
        <v>69</v>
      </c>
      <c r="I386" s="9">
        <v>5</v>
      </c>
      <c r="J386" s="22">
        <f t="shared" si="5"/>
        <v>345</v>
      </c>
      <c r="K386" s="9">
        <f t="array" ref="K386">QUARTILE(IF($F$3:$F$1460=$F386,$H$3:$H$1460),1)</f>
        <v>69.75</v>
      </c>
      <c r="L386" s="9">
        <f t="array" ref="L386">QUARTILE(IF($F$3:$F$1460=$F386,$H$3:$H$1460),2)</f>
        <v>86</v>
      </c>
      <c r="M386" s="9">
        <f t="array" ref="M386">QUARTILE(IF($F$3:$F$1460=$F386,$H$3:$H$1460),3)</f>
        <v>144</v>
      </c>
    </row>
    <row r="387" spans="1:13" x14ac:dyDescent="0.25">
      <c r="A387" s="7">
        <v>385</v>
      </c>
      <c r="B387" s="6" t="s">
        <v>97</v>
      </c>
      <c r="C387" s="7">
        <v>5359822</v>
      </c>
      <c r="D387" s="23" t="s">
        <v>318</v>
      </c>
      <c r="E387" s="6" t="s">
        <v>319</v>
      </c>
      <c r="F387" s="21" t="s">
        <v>34</v>
      </c>
      <c r="G387" s="45" t="s">
        <v>321</v>
      </c>
      <c r="H387" s="22">
        <v>54</v>
      </c>
      <c r="I387" s="9">
        <v>5</v>
      </c>
      <c r="J387" s="22">
        <f t="shared" si="5"/>
        <v>270</v>
      </c>
      <c r="K387" s="9">
        <f t="array" ref="K387">QUARTILE(IF($F$3:$F$1460=$F387,$H$3:$H$1460),1)</f>
        <v>69.75</v>
      </c>
      <c r="L387" s="9">
        <f t="array" ref="L387">QUARTILE(IF($F$3:$F$1460=$F387,$H$3:$H$1460),2)</f>
        <v>86</v>
      </c>
      <c r="M387" s="9">
        <f t="array" ref="M387">QUARTILE(IF($F$3:$F$1460=$F387,$H$3:$H$1460),3)</f>
        <v>144</v>
      </c>
    </row>
    <row r="388" spans="1:13" x14ac:dyDescent="0.25">
      <c r="A388" s="7">
        <v>386</v>
      </c>
      <c r="B388" s="6" t="s">
        <v>97</v>
      </c>
      <c r="C388" s="7">
        <v>5359822</v>
      </c>
      <c r="D388" s="23" t="s">
        <v>318</v>
      </c>
      <c r="E388" s="6" t="s">
        <v>319</v>
      </c>
      <c r="F388" s="21" t="s">
        <v>34</v>
      </c>
      <c r="G388" s="45" t="s">
        <v>322</v>
      </c>
      <c r="H388" s="22">
        <v>114</v>
      </c>
      <c r="I388" s="9">
        <v>5</v>
      </c>
      <c r="J388" s="22">
        <f t="shared" si="5"/>
        <v>570</v>
      </c>
      <c r="K388" s="9">
        <f t="array" ref="K388">QUARTILE(IF($F$3:$F$1460=$F388,$H$3:$H$1460),1)</f>
        <v>69.75</v>
      </c>
      <c r="L388" s="9">
        <f t="array" ref="L388">QUARTILE(IF($F$3:$F$1460=$F388,$H$3:$H$1460),2)</f>
        <v>86</v>
      </c>
      <c r="M388" s="9">
        <f t="array" ref="M388">QUARTILE(IF($F$3:$F$1460=$F388,$H$3:$H$1460),3)</f>
        <v>144</v>
      </c>
    </row>
    <row r="389" spans="1:13" x14ac:dyDescent="0.25">
      <c r="A389" s="7">
        <v>387</v>
      </c>
      <c r="B389" s="6" t="s">
        <v>97</v>
      </c>
      <c r="C389" s="7">
        <v>5359822</v>
      </c>
      <c r="D389" s="23" t="s">
        <v>318</v>
      </c>
      <c r="E389" s="6" t="s">
        <v>319</v>
      </c>
      <c r="F389" s="21" t="s">
        <v>34</v>
      </c>
      <c r="G389" s="45" t="s">
        <v>323</v>
      </c>
      <c r="H389" s="22">
        <v>157</v>
      </c>
      <c r="I389" s="9">
        <v>5</v>
      </c>
      <c r="J389" s="22">
        <f t="shared" si="5"/>
        <v>785</v>
      </c>
      <c r="K389" s="9">
        <f t="array" ref="K389">QUARTILE(IF($F$3:$F$1460=$F389,$H$3:$H$1460),1)</f>
        <v>69.75</v>
      </c>
      <c r="L389" s="9">
        <f t="array" ref="L389">QUARTILE(IF($F$3:$F$1460=$F389,$H$3:$H$1460),2)</f>
        <v>86</v>
      </c>
      <c r="M389" s="9">
        <f t="array" ref="M389">QUARTILE(IF($F$3:$F$1460=$F389,$H$3:$H$1460),3)</f>
        <v>144</v>
      </c>
    </row>
    <row r="390" spans="1:13" x14ac:dyDescent="0.25">
      <c r="A390" s="7">
        <v>388</v>
      </c>
      <c r="B390" s="6" t="s">
        <v>97</v>
      </c>
      <c r="C390" s="7">
        <v>5359822</v>
      </c>
      <c r="D390" s="23" t="s">
        <v>318</v>
      </c>
      <c r="E390" s="6" t="s">
        <v>319</v>
      </c>
      <c r="F390" s="21" t="s">
        <v>34</v>
      </c>
      <c r="G390" s="45" t="s">
        <v>324</v>
      </c>
      <c r="H390" s="22">
        <v>198</v>
      </c>
      <c r="I390" s="9">
        <v>1</v>
      </c>
      <c r="J390" s="22">
        <f t="shared" si="5"/>
        <v>198</v>
      </c>
      <c r="K390" s="9">
        <f t="array" ref="K390">QUARTILE(IF($F$3:$F$1460=$F390,$H$3:$H$1460),1)</f>
        <v>69.75</v>
      </c>
      <c r="L390" s="9">
        <f t="array" ref="L390">QUARTILE(IF($F$3:$F$1460=$F390,$H$3:$H$1460),2)</f>
        <v>86</v>
      </c>
      <c r="M390" s="9">
        <f t="array" ref="M390">QUARTILE(IF($F$3:$F$1460=$F390,$H$3:$H$1460),3)</f>
        <v>144</v>
      </c>
    </row>
    <row r="391" spans="1:13" x14ac:dyDescent="0.25">
      <c r="A391" s="7">
        <v>389</v>
      </c>
      <c r="B391" s="6" t="s">
        <v>97</v>
      </c>
      <c r="C391" s="7">
        <v>5359822</v>
      </c>
      <c r="D391" s="23" t="s">
        <v>318</v>
      </c>
      <c r="E391" s="6" t="s">
        <v>319</v>
      </c>
      <c r="F391" s="21" t="s">
        <v>34</v>
      </c>
      <c r="G391" s="45" t="s">
        <v>325</v>
      </c>
      <c r="H391" s="22">
        <v>64</v>
      </c>
      <c r="I391" s="9">
        <v>2</v>
      </c>
      <c r="J391" s="22">
        <f t="shared" si="5"/>
        <v>128</v>
      </c>
      <c r="K391" s="9">
        <f t="array" ref="K391">QUARTILE(IF($F$3:$F$1460=$F391,$H$3:$H$1460),1)</f>
        <v>69.75</v>
      </c>
      <c r="L391" s="9">
        <f t="array" ref="L391">QUARTILE(IF($F$3:$F$1460=$F391,$H$3:$H$1460),2)</f>
        <v>86</v>
      </c>
      <c r="M391" s="9">
        <f t="array" ref="M391">QUARTILE(IF($F$3:$F$1460=$F391,$H$3:$H$1460),3)</f>
        <v>144</v>
      </c>
    </row>
    <row r="392" spans="1:13" x14ac:dyDescent="0.25">
      <c r="A392" s="7">
        <v>390</v>
      </c>
      <c r="B392" s="6" t="s">
        <v>97</v>
      </c>
      <c r="C392" s="7">
        <v>5359822</v>
      </c>
      <c r="D392" s="23" t="s">
        <v>318</v>
      </c>
      <c r="E392" s="6" t="s">
        <v>319</v>
      </c>
      <c r="F392" s="21" t="s">
        <v>34</v>
      </c>
      <c r="G392" s="45" t="s">
        <v>326</v>
      </c>
      <c r="H392" s="22">
        <v>88</v>
      </c>
      <c r="I392" s="9">
        <v>2</v>
      </c>
      <c r="J392" s="22">
        <f t="shared" si="5"/>
        <v>176</v>
      </c>
      <c r="K392" s="9">
        <f t="array" ref="K392">QUARTILE(IF($F$3:$F$1460=$F392,$H$3:$H$1460),1)</f>
        <v>69.75</v>
      </c>
      <c r="L392" s="9">
        <f t="array" ref="L392">QUARTILE(IF($F$3:$F$1460=$F392,$H$3:$H$1460),2)</f>
        <v>86</v>
      </c>
      <c r="M392" s="9">
        <f t="array" ref="M392">QUARTILE(IF($F$3:$F$1460=$F392,$H$3:$H$1460),3)</f>
        <v>144</v>
      </c>
    </row>
    <row r="393" spans="1:13" x14ac:dyDescent="0.25">
      <c r="A393" s="7">
        <v>391</v>
      </c>
      <c r="B393" s="6" t="s">
        <v>97</v>
      </c>
      <c r="C393" s="7">
        <v>5359822</v>
      </c>
      <c r="D393" s="23" t="s">
        <v>318</v>
      </c>
      <c r="E393" s="6" t="s">
        <v>319</v>
      </c>
      <c r="F393" s="21" t="s">
        <v>34</v>
      </c>
      <c r="G393" s="45" t="s">
        <v>327</v>
      </c>
      <c r="H393" s="22">
        <v>62</v>
      </c>
      <c r="I393" s="9">
        <v>10</v>
      </c>
      <c r="J393" s="22">
        <f t="shared" si="5"/>
        <v>620</v>
      </c>
      <c r="K393" s="9">
        <f t="array" ref="K393">QUARTILE(IF($F$3:$F$1460=$F393,$H$3:$H$1460),1)</f>
        <v>69.75</v>
      </c>
      <c r="L393" s="9">
        <f t="array" ref="L393">QUARTILE(IF($F$3:$F$1460=$F393,$H$3:$H$1460),2)</f>
        <v>86</v>
      </c>
      <c r="M393" s="9">
        <f t="array" ref="M393">QUARTILE(IF($F$3:$F$1460=$F393,$H$3:$H$1460),3)</f>
        <v>144</v>
      </c>
    </row>
    <row r="394" spans="1:13" x14ac:dyDescent="0.25">
      <c r="A394" s="7">
        <v>392</v>
      </c>
      <c r="B394" s="6" t="s">
        <v>97</v>
      </c>
      <c r="C394" s="7">
        <v>5359822</v>
      </c>
      <c r="D394" s="23" t="s">
        <v>318</v>
      </c>
      <c r="E394" s="6" t="s">
        <v>319</v>
      </c>
      <c r="F394" s="21" t="s">
        <v>34</v>
      </c>
      <c r="G394" s="45" t="s">
        <v>328</v>
      </c>
      <c r="H394" s="22">
        <v>86</v>
      </c>
      <c r="I394" s="9">
        <v>10</v>
      </c>
      <c r="J394" s="22">
        <f t="shared" si="5"/>
        <v>860</v>
      </c>
      <c r="K394" s="9">
        <f t="array" ref="K394">QUARTILE(IF($F$3:$F$1460=$F394,$H$3:$H$1460),1)</f>
        <v>69.75</v>
      </c>
      <c r="L394" s="9">
        <f t="array" ref="L394">QUARTILE(IF($F$3:$F$1460=$F394,$H$3:$H$1460),2)</f>
        <v>86</v>
      </c>
      <c r="M394" s="9">
        <f t="array" ref="M394">QUARTILE(IF($F$3:$F$1460=$F394,$H$3:$H$1460),3)</f>
        <v>144</v>
      </c>
    </row>
    <row r="395" spans="1:13" x14ac:dyDescent="0.25">
      <c r="A395" s="7">
        <v>393</v>
      </c>
      <c r="B395" s="6" t="s">
        <v>97</v>
      </c>
      <c r="C395" s="7">
        <v>5359822</v>
      </c>
      <c r="D395" s="23" t="s">
        <v>318</v>
      </c>
      <c r="E395" s="6" t="s">
        <v>319</v>
      </c>
      <c r="F395" s="21" t="s">
        <v>34</v>
      </c>
      <c r="G395" s="45" t="s">
        <v>329</v>
      </c>
      <c r="H395" s="22">
        <v>154</v>
      </c>
      <c r="I395" s="9">
        <v>8</v>
      </c>
      <c r="J395" s="22">
        <f t="shared" si="5"/>
        <v>1232</v>
      </c>
      <c r="K395" s="9">
        <f t="array" ref="K395">QUARTILE(IF($F$3:$F$1460=$F395,$H$3:$H$1460),1)</f>
        <v>69.75</v>
      </c>
      <c r="L395" s="9">
        <f t="array" ref="L395">QUARTILE(IF($F$3:$F$1460=$F395,$H$3:$H$1460),2)</f>
        <v>86</v>
      </c>
      <c r="M395" s="9">
        <f t="array" ref="M395">QUARTILE(IF($F$3:$F$1460=$F395,$H$3:$H$1460),3)</f>
        <v>144</v>
      </c>
    </row>
    <row r="396" spans="1:13" x14ac:dyDescent="0.25">
      <c r="A396" s="7">
        <v>394</v>
      </c>
      <c r="B396" s="6" t="s">
        <v>97</v>
      </c>
      <c r="C396" s="7">
        <v>5359822</v>
      </c>
      <c r="D396" s="23" t="s">
        <v>318</v>
      </c>
      <c r="E396" s="6" t="s">
        <v>319</v>
      </c>
      <c r="F396" s="21" t="s">
        <v>34</v>
      </c>
      <c r="G396" s="45" t="s">
        <v>330</v>
      </c>
      <c r="H396" s="22">
        <v>72</v>
      </c>
      <c r="I396" s="9">
        <v>3</v>
      </c>
      <c r="J396" s="22">
        <f t="shared" si="5"/>
        <v>216</v>
      </c>
      <c r="K396" s="9">
        <f t="array" ref="K396">QUARTILE(IF($F$3:$F$1460=$F396,$H$3:$H$1460),1)</f>
        <v>69.75</v>
      </c>
      <c r="L396" s="9">
        <f t="array" ref="L396">QUARTILE(IF($F$3:$F$1460=$F396,$H$3:$H$1460),2)</f>
        <v>86</v>
      </c>
      <c r="M396" s="9">
        <f t="array" ref="M396">QUARTILE(IF($F$3:$F$1460=$F396,$H$3:$H$1460),3)</f>
        <v>144</v>
      </c>
    </row>
    <row r="397" spans="1:13" x14ac:dyDescent="0.25">
      <c r="A397" s="7">
        <v>395</v>
      </c>
      <c r="B397" s="6" t="s">
        <v>97</v>
      </c>
      <c r="C397" s="7">
        <v>5359822</v>
      </c>
      <c r="D397" s="23" t="s">
        <v>318</v>
      </c>
      <c r="E397" s="6" t="s">
        <v>319</v>
      </c>
      <c r="F397" s="21" t="s">
        <v>34</v>
      </c>
      <c r="G397" s="45" t="s">
        <v>331</v>
      </c>
      <c r="H397" s="22">
        <v>84</v>
      </c>
      <c r="I397" s="9">
        <v>3</v>
      </c>
      <c r="J397" s="22">
        <f t="shared" si="5"/>
        <v>252</v>
      </c>
      <c r="K397" s="9">
        <f t="array" ref="K397">QUARTILE(IF($F$3:$F$1460=$F397,$H$3:$H$1460),1)</f>
        <v>69.75</v>
      </c>
      <c r="L397" s="9">
        <f t="array" ref="L397">QUARTILE(IF($F$3:$F$1460=$F397,$H$3:$H$1460),2)</f>
        <v>86</v>
      </c>
      <c r="M397" s="9">
        <f t="array" ref="M397">QUARTILE(IF($F$3:$F$1460=$F397,$H$3:$H$1460),3)</f>
        <v>144</v>
      </c>
    </row>
    <row r="398" spans="1:13" x14ac:dyDescent="0.25">
      <c r="A398" s="7">
        <v>396</v>
      </c>
      <c r="B398" s="6" t="s">
        <v>97</v>
      </c>
      <c r="C398" s="7">
        <v>5359822</v>
      </c>
      <c r="D398" s="23" t="s">
        <v>318</v>
      </c>
      <c r="E398" s="6" t="s">
        <v>319</v>
      </c>
      <c r="F398" s="21" t="s">
        <v>34</v>
      </c>
      <c r="G398" s="45" t="s">
        <v>332</v>
      </c>
      <c r="H398" s="22">
        <v>86</v>
      </c>
      <c r="I398" s="9">
        <v>3</v>
      </c>
      <c r="J398" s="22">
        <f t="shared" si="5"/>
        <v>258</v>
      </c>
      <c r="K398" s="9">
        <f t="array" ref="K398">QUARTILE(IF($F$3:$F$1460=$F398,$H$3:$H$1460),1)</f>
        <v>69.75</v>
      </c>
      <c r="L398" s="9">
        <f t="array" ref="L398">QUARTILE(IF($F$3:$F$1460=$F398,$H$3:$H$1460),2)</f>
        <v>86</v>
      </c>
      <c r="M398" s="9">
        <f t="array" ref="M398">QUARTILE(IF($F$3:$F$1460=$F398,$H$3:$H$1460),3)</f>
        <v>144</v>
      </c>
    </row>
    <row r="399" spans="1:13" x14ac:dyDescent="0.25">
      <c r="A399" s="7">
        <v>397</v>
      </c>
      <c r="B399" s="6" t="s">
        <v>97</v>
      </c>
      <c r="C399" s="7">
        <v>5359822</v>
      </c>
      <c r="D399" s="23" t="s">
        <v>318</v>
      </c>
      <c r="E399" s="6" t="s">
        <v>319</v>
      </c>
      <c r="F399" s="21" t="s">
        <v>42</v>
      </c>
      <c r="G399" s="6" t="s">
        <v>333</v>
      </c>
      <c r="H399" s="22">
        <v>98</v>
      </c>
      <c r="I399" s="9">
        <v>3</v>
      </c>
      <c r="J399" s="22">
        <f t="shared" si="5"/>
        <v>294</v>
      </c>
      <c r="K399" s="9">
        <f t="array" ref="K399">QUARTILE(IF($F$3:$F$1460=$F399,$H$3:$H$1460),1)</f>
        <v>119</v>
      </c>
      <c r="L399" s="9">
        <f t="array" ref="L399">QUARTILE(IF($F$3:$F$1460=$F399,$H$3:$H$1460),2)</f>
        <v>181.5</v>
      </c>
      <c r="M399" s="9">
        <f t="array" ref="M399">QUARTILE(IF($F$3:$F$1460=$F399,$H$3:$H$1460),3)</f>
        <v>272</v>
      </c>
    </row>
    <row r="400" spans="1:13" x14ac:dyDescent="0.25">
      <c r="A400" s="7">
        <v>398</v>
      </c>
      <c r="B400" s="6" t="s">
        <v>97</v>
      </c>
      <c r="C400" s="7">
        <v>5359822</v>
      </c>
      <c r="D400" s="23" t="s">
        <v>318</v>
      </c>
      <c r="E400" s="6" t="s">
        <v>319</v>
      </c>
      <c r="F400" s="21" t="s">
        <v>42</v>
      </c>
      <c r="G400" s="6" t="s">
        <v>334</v>
      </c>
      <c r="H400" s="22">
        <v>109</v>
      </c>
      <c r="I400" s="9">
        <v>3</v>
      </c>
      <c r="J400" s="22">
        <f t="shared" si="5"/>
        <v>327</v>
      </c>
      <c r="K400" s="9">
        <f t="array" ref="K400">QUARTILE(IF($F$3:$F$1460=$F400,$H$3:$H$1460),1)</f>
        <v>119</v>
      </c>
      <c r="L400" s="9">
        <f t="array" ref="L400">QUARTILE(IF($F$3:$F$1460=$F400,$H$3:$H$1460),2)</f>
        <v>181.5</v>
      </c>
      <c r="M400" s="9">
        <f t="array" ref="M400">QUARTILE(IF($F$3:$F$1460=$F400,$H$3:$H$1460),3)</f>
        <v>272</v>
      </c>
    </row>
    <row r="401" spans="1:13" x14ac:dyDescent="0.25">
      <c r="A401" s="7">
        <v>399</v>
      </c>
      <c r="B401" s="6" t="s">
        <v>97</v>
      </c>
      <c r="C401" s="7">
        <v>5359822</v>
      </c>
      <c r="D401" s="23" t="s">
        <v>318</v>
      </c>
      <c r="E401" s="6" t="s">
        <v>319</v>
      </c>
      <c r="F401" s="21" t="s">
        <v>42</v>
      </c>
      <c r="G401" s="6" t="s">
        <v>335</v>
      </c>
      <c r="H401" s="22">
        <v>115</v>
      </c>
      <c r="I401" s="9">
        <v>3</v>
      </c>
      <c r="J401" s="22">
        <f t="shared" si="5"/>
        <v>345</v>
      </c>
      <c r="K401" s="9">
        <f t="array" ref="K401">QUARTILE(IF($F$3:$F$1460=$F401,$H$3:$H$1460),1)</f>
        <v>119</v>
      </c>
      <c r="L401" s="9">
        <f t="array" ref="L401">QUARTILE(IF($F$3:$F$1460=$F401,$H$3:$H$1460),2)</f>
        <v>181.5</v>
      </c>
      <c r="M401" s="9">
        <f t="array" ref="M401">QUARTILE(IF($F$3:$F$1460=$F401,$H$3:$H$1460),3)</f>
        <v>272</v>
      </c>
    </row>
    <row r="402" spans="1:13" x14ac:dyDescent="0.25">
      <c r="A402" s="7">
        <v>400</v>
      </c>
      <c r="B402" s="6" t="s">
        <v>97</v>
      </c>
      <c r="C402" s="7">
        <v>5359822</v>
      </c>
      <c r="D402" s="23" t="s">
        <v>318</v>
      </c>
      <c r="E402" s="6" t="s">
        <v>319</v>
      </c>
      <c r="F402" s="21" t="s">
        <v>42</v>
      </c>
      <c r="G402" s="6" t="s">
        <v>336</v>
      </c>
      <c r="H402" s="22">
        <v>119</v>
      </c>
      <c r="I402" s="9">
        <v>3</v>
      </c>
      <c r="J402" s="22">
        <f t="shared" si="5"/>
        <v>357</v>
      </c>
      <c r="K402" s="9">
        <f t="array" ref="K402">QUARTILE(IF($F$3:$F$1460=$F402,$H$3:$H$1460),1)</f>
        <v>119</v>
      </c>
      <c r="L402" s="9">
        <f t="array" ref="L402">QUARTILE(IF($F$3:$F$1460=$F402,$H$3:$H$1460),2)</f>
        <v>181.5</v>
      </c>
      <c r="M402" s="9">
        <f t="array" ref="M402">QUARTILE(IF($F$3:$F$1460=$F402,$H$3:$H$1460),3)</f>
        <v>272</v>
      </c>
    </row>
    <row r="403" spans="1:13" x14ac:dyDescent="0.25">
      <c r="A403" s="7">
        <v>401</v>
      </c>
      <c r="B403" s="6" t="s">
        <v>97</v>
      </c>
      <c r="C403" s="7">
        <v>5359822</v>
      </c>
      <c r="D403" s="23" t="s">
        <v>318</v>
      </c>
      <c r="E403" s="6" t="s">
        <v>319</v>
      </c>
      <c r="F403" s="21" t="s">
        <v>42</v>
      </c>
      <c r="G403" s="6" t="s">
        <v>337</v>
      </c>
      <c r="H403" s="22">
        <v>128.19999999999999</v>
      </c>
      <c r="I403" s="9">
        <v>3</v>
      </c>
      <c r="J403" s="22">
        <f t="shared" si="5"/>
        <v>384.59999999999997</v>
      </c>
      <c r="K403" s="9">
        <f t="array" ref="K403">QUARTILE(IF($F$3:$F$1460=$F403,$H$3:$H$1460),1)</f>
        <v>119</v>
      </c>
      <c r="L403" s="9">
        <f t="array" ref="L403">QUARTILE(IF($F$3:$F$1460=$F403,$H$3:$H$1460),2)</f>
        <v>181.5</v>
      </c>
      <c r="M403" s="9">
        <f t="array" ref="M403">QUARTILE(IF($F$3:$F$1460=$F403,$H$3:$H$1460),3)</f>
        <v>272</v>
      </c>
    </row>
    <row r="404" spans="1:13" x14ac:dyDescent="0.25">
      <c r="A404" s="7">
        <v>402</v>
      </c>
      <c r="B404" s="6" t="s">
        <v>97</v>
      </c>
      <c r="C404" s="7">
        <v>5359822</v>
      </c>
      <c r="D404" s="23" t="s">
        <v>318</v>
      </c>
      <c r="E404" s="6" t="s">
        <v>319</v>
      </c>
      <c r="F404" s="21" t="s">
        <v>42</v>
      </c>
      <c r="G404" s="6" t="s">
        <v>338</v>
      </c>
      <c r="H404" s="22">
        <v>139.80000000000001</v>
      </c>
      <c r="I404" s="9">
        <v>3</v>
      </c>
      <c r="J404" s="22">
        <f t="shared" si="5"/>
        <v>419.40000000000003</v>
      </c>
      <c r="K404" s="9">
        <f t="array" ref="K404">QUARTILE(IF($F$3:$F$1460=$F404,$H$3:$H$1460),1)</f>
        <v>119</v>
      </c>
      <c r="L404" s="9">
        <f t="array" ref="L404">QUARTILE(IF($F$3:$F$1460=$F404,$H$3:$H$1460),2)</f>
        <v>181.5</v>
      </c>
      <c r="M404" s="9">
        <f t="array" ref="M404">QUARTILE(IF($F$3:$F$1460=$F404,$H$3:$H$1460),3)</f>
        <v>272</v>
      </c>
    </row>
    <row r="405" spans="1:13" x14ac:dyDescent="0.25">
      <c r="A405" s="7">
        <v>403</v>
      </c>
      <c r="B405" s="6" t="s">
        <v>97</v>
      </c>
      <c r="C405" s="7">
        <v>5359822</v>
      </c>
      <c r="D405" s="23" t="s">
        <v>318</v>
      </c>
      <c r="E405" s="6" t="s">
        <v>319</v>
      </c>
      <c r="F405" s="21" t="s">
        <v>42</v>
      </c>
      <c r="G405" s="6" t="s">
        <v>339</v>
      </c>
      <c r="H405" s="22">
        <v>198</v>
      </c>
      <c r="I405" s="9">
        <v>3</v>
      </c>
      <c r="J405" s="22">
        <f t="shared" si="5"/>
        <v>594</v>
      </c>
      <c r="K405" s="9">
        <f t="array" ref="K405">QUARTILE(IF($F$3:$F$1460=$F405,$H$3:$H$1460),1)</f>
        <v>119</v>
      </c>
      <c r="L405" s="9">
        <f t="array" ref="L405">QUARTILE(IF($F$3:$F$1460=$F405,$H$3:$H$1460),2)</f>
        <v>181.5</v>
      </c>
      <c r="M405" s="9">
        <f t="array" ref="M405">QUARTILE(IF($F$3:$F$1460=$F405,$H$3:$H$1460),3)</f>
        <v>272</v>
      </c>
    </row>
    <row r="406" spans="1:13" x14ac:dyDescent="0.25">
      <c r="A406" s="7">
        <v>404</v>
      </c>
      <c r="B406" s="6" t="s">
        <v>97</v>
      </c>
      <c r="C406" s="7">
        <v>5359822</v>
      </c>
      <c r="D406" s="23" t="s">
        <v>318</v>
      </c>
      <c r="E406" s="6" t="s">
        <v>319</v>
      </c>
      <c r="F406" s="21" t="s">
        <v>42</v>
      </c>
      <c r="G406" s="6" t="s">
        <v>340</v>
      </c>
      <c r="H406" s="22">
        <v>89</v>
      </c>
      <c r="I406" s="9">
        <v>5</v>
      </c>
      <c r="J406" s="22">
        <f t="shared" si="5"/>
        <v>445</v>
      </c>
      <c r="K406" s="9">
        <f t="array" ref="K406">QUARTILE(IF($F$3:$F$1460=$F406,$H$3:$H$1460),1)</f>
        <v>119</v>
      </c>
      <c r="L406" s="9">
        <f t="array" ref="L406">QUARTILE(IF($F$3:$F$1460=$F406,$H$3:$H$1460),2)</f>
        <v>181.5</v>
      </c>
      <c r="M406" s="9">
        <f t="array" ref="M406">QUARTILE(IF($F$3:$F$1460=$F406,$H$3:$H$1460),3)</f>
        <v>272</v>
      </c>
    </row>
    <row r="407" spans="1:13" x14ac:dyDescent="0.25">
      <c r="A407" s="7">
        <v>405</v>
      </c>
      <c r="B407" s="6" t="s">
        <v>97</v>
      </c>
      <c r="C407" s="7">
        <v>5359822</v>
      </c>
      <c r="D407" s="23" t="s">
        <v>318</v>
      </c>
      <c r="E407" s="6" t="s">
        <v>319</v>
      </c>
      <c r="F407" s="21" t="s">
        <v>42</v>
      </c>
      <c r="G407" s="6" t="s">
        <v>341</v>
      </c>
      <c r="H407" s="22">
        <v>97</v>
      </c>
      <c r="I407" s="9">
        <v>5</v>
      </c>
      <c r="J407" s="22">
        <f t="shared" si="5"/>
        <v>485</v>
      </c>
      <c r="K407" s="9">
        <f t="array" ref="K407">QUARTILE(IF($F$3:$F$1460=$F407,$H$3:$H$1460),1)</f>
        <v>119</v>
      </c>
      <c r="L407" s="9">
        <f t="array" ref="L407">QUARTILE(IF($F$3:$F$1460=$F407,$H$3:$H$1460),2)</f>
        <v>181.5</v>
      </c>
      <c r="M407" s="9">
        <f t="array" ref="M407">QUARTILE(IF($F$3:$F$1460=$F407,$H$3:$H$1460),3)</f>
        <v>272</v>
      </c>
    </row>
    <row r="408" spans="1:13" x14ac:dyDescent="0.25">
      <c r="A408" s="7">
        <v>406</v>
      </c>
      <c r="B408" s="6" t="s">
        <v>97</v>
      </c>
      <c r="C408" s="7">
        <v>5359822</v>
      </c>
      <c r="D408" s="23" t="s">
        <v>318</v>
      </c>
      <c r="E408" s="6" t="s">
        <v>319</v>
      </c>
      <c r="F408" s="21" t="s">
        <v>42</v>
      </c>
      <c r="G408" s="6" t="s">
        <v>342</v>
      </c>
      <c r="H408" s="22">
        <v>150</v>
      </c>
      <c r="I408" s="9">
        <v>5</v>
      </c>
      <c r="J408" s="22">
        <f t="shared" si="5"/>
        <v>750</v>
      </c>
      <c r="K408" s="9">
        <f t="array" ref="K408">QUARTILE(IF($F$3:$F$1460=$F408,$H$3:$H$1460),1)</f>
        <v>119</v>
      </c>
      <c r="L408" s="9">
        <f t="array" ref="L408">QUARTILE(IF($F$3:$F$1460=$F408,$H$3:$H$1460),2)</f>
        <v>181.5</v>
      </c>
      <c r="M408" s="9">
        <f t="array" ref="M408">QUARTILE(IF($F$3:$F$1460=$F408,$H$3:$H$1460),3)</f>
        <v>272</v>
      </c>
    </row>
    <row r="409" spans="1:13" x14ac:dyDescent="0.25">
      <c r="A409" s="7">
        <v>407</v>
      </c>
      <c r="B409" s="6" t="s">
        <v>97</v>
      </c>
      <c r="C409" s="7">
        <v>5359822</v>
      </c>
      <c r="D409" s="23" t="s">
        <v>318</v>
      </c>
      <c r="E409" s="6" t="s">
        <v>319</v>
      </c>
      <c r="F409" s="21" t="s">
        <v>42</v>
      </c>
      <c r="G409" s="6" t="s">
        <v>343</v>
      </c>
      <c r="H409" s="22">
        <v>155</v>
      </c>
      <c r="I409" s="9">
        <v>5</v>
      </c>
      <c r="J409" s="22">
        <f t="shared" si="5"/>
        <v>775</v>
      </c>
      <c r="K409" s="9">
        <f t="array" ref="K409">QUARTILE(IF($F$3:$F$1460=$F409,$H$3:$H$1460),1)</f>
        <v>119</v>
      </c>
      <c r="L409" s="9">
        <f t="array" ref="L409">QUARTILE(IF($F$3:$F$1460=$F409,$H$3:$H$1460),2)</f>
        <v>181.5</v>
      </c>
      <c r="M409" s="9">
        <f t="array" ref="M409">QUARTILE(IF($F$3:$F$1460=$F409,$H$3:$H$1460),3)</f>
        <v>272</v>
      </c>
    </row>
    <row r="410" spans="1:13" x14ac:dyDescent="0.25">
      <c r="A410" s="7">
        <v>408</v>
      </c>
      <c r="B410" s="6" t="s">
        <v>97</v>
      </c>
      <c r="C410" s="7">
        <v>5359822</v>
      </c>
      <c r="D410" s="23" t="s">
        <v>318</v>
      </c>
      <c r="E410" s="6" t="s">
        <v>319</v>
      </c>
      <c r="F410" s="21" t="s">
        <v>42</v>
      </c>
      <c r="G410" s="6" t="s">
        <v>344</v>
      </c>
      <c r="H410" s="22">
        <v>159</v>
      </c>
      <c r="I410" s="9">
        <v>5</v>
      </c>
      <c r="J410" s="22">
        <f t="shared" si="5"/>
        <v>795</v>
      </c>
      <c r="K410" s="9">
        <f t="array" ref="K410">QUARTILE(IF($F$3:$F$1460=$F410,$H$3:$H$1460),1)</f>
        <v>119</v>
      </c>
      <c r="L410" s="9">
        <f t="array" ref="L410">QUARTILE(IF($F$3:$F$1460=$F410,$H$3:$H$1460),2)</f>
        <v>181.5</v>
      </c>
      <c r="M410" s="9">
        <f t="array" ref="M410">QUARTILE(IF($F$3:$F$1460=$F410,$H$3:$H$1460),3)</f>
        <v>272</v>
      </c>
    </row>
    <row r="411" spans="1:13" x14ac:dyDescent="0.25">
      <c r="A411" s="7">
        <v>409</v>
      </c>
      <c r="B411" s="6" t="s">
        <v>97</v>
      </c>
      <c r="C411" s="7">
        <v>5359822</v>
      </c>
      <c r="D411" s="23" t="s">
        <v>318</v>
      </c>
      <c r="E411" s="6" t="s">
        <v>319</v>
      </c>
      <c r="F411" s="21" t="s">
        <v>42</v>
      </c>
      <c r="G411" s="6" t="s">
        <v>345</v>
      </c>
      <c r="H411" s="22">
        <v>210</v>
      </c>
      <c r="I411" s="9">
        <v>5</v>
      </c>
      <c r="J411" s="22">
        <f t="shared" si="5"/>
        <v>1050</v>
      </c>
      <c r="K411" s="9">
        <f t="array" ref="K411">QUARTILE(IF($F$3:$F$1460=$F411,$H$3:$H$1460),1)</f>
        <v>119</v>
      </c>
      <c r="L411" s="9">
        <f t="array" ref="L411">QUARTILE(IF($F$3:$F$1460=$F411,$H$3:$H$1460),2)</f>
        <v>181.5</v>
      </c>
      <c r="M411" s="9">
        <f t="array" ref="M411">QUARTILE(IF($F$3:$F$1460=$F411,$H$3:$H$1460),3)</f>
        <v>272</v>
      </c>
    </row>
    <row r="412" spans="1:13" x14ac:dyDescent="0.25">
      <c r="A412" s="7">
        <v>410</v>
      </c>
      <c r="B412" s="6" t="s">
        <v>97</v>
      </c>
      <c r="C412" s="7">
        <v>5359822</v>
      </c>
      <c r="D412" s="23" t="s">
        <v>318</v>
      </c>
      <c r="E412" s="6" t="s">
        <v>319</v>
      </c>
      <c r="F412" s="21" t="s">
        <v>42</v>
      </c>
      <c r="G412" s="6" t="s">
        <v>346</v>
      </c>
      <c r="H412" s="22">
        <v>238</v>
      </c>
      <c r="I412" s="9">
        <v>5</v>
      </c>
      <c r="J412" s="22">
        <f t="shared" si="5"/>
        <v>1190</v>
      </c>
      <c r="K412" s="9">
        <f t="array" ref="K412">QUARTILE(IF($F$3:$F$1460=$F412,$H$3:$H$1460),1)</f>
        <v>119</v>
      </c>
      <c r="L412" s="9">
        <f t="array" ref="L412">QUARTILE(IF($F$3:$F$1460=$F412,$H$3:$H$1460),2)</f>
        <v>181.5</v>
      </c>
      <c r="M412" s="9">
        <f t="array" ref="M412">QUARTILE(IF($F$3:$F$1460=$F412,$H$3:$H$1460),3)</f>
        <v>272</v>
      </c>
    </row>
    <row r="413" spans="1:13" x14ac:dyDescent="0.25">
      <c r="A413" s="7">
        <v>411</v>
      </c>
      <c r="B413" s="6" t="s">
        <v>97</v>
      </c>
      <c r="C413" s="7">
        <v>5359822</v>
      </c>
      <c r="D413" s="23" t="s">
        <v>318</v>
      </c>
      <c r="E413" s="6" t="s">
        <v>319</v>
      </c>
      <c r="F413" s="21" t="s">
        <v>42</v>
      </c>
      <c r="G413" s="6" t="s">
        <v>347</v>
      </c>
      <c r="H413" s="22">
        <v>102</v>
      </c>
      <c r="I413" s="9">
        <v>8</v>
      </c>
      <c r="J413" s="22">
        <f t="shared" si="5"/>
        <v>816</v>
      </c>
      <c r="K413" s="9">
        <f t="array" ref="K413">QUARTILE(IF($F$3:$F$1460=$F413,$H$3:$H$1460),1)</f>
        <v>119</v>
      </c>
      <c r="L413" s="9">
        <f t="array" ref="L413">QUARTILE(IF($F$3:$F$1460=$F413,$H$3:$H$1460),2)</f>
        <v>181.5</v>
      </c>
      <c r="M413" s="9">
        <f t="array" ref="M413">QUARTILE(IF($F$3:$F$1460=$F413,$H$3:$H$1460),3)</f>
        <v>272</v>
      </c>
    </row>
    <row r="414" spans="1:13" x14ac:dyDescent="0.25">
      <c r="A414" s="7">
        <v>412</v>
      </c>
      <c r="B414" s="6" t="s">
        <v>97</v>
      </c>
      <c r="C414" s="7">
        <v>5359822</v>
      </c>
      <c r="D414" s="23" t="s">
        <v>318</v>
      </c>
      <c r="E414" s="6" t="s">
        <v>319</v>
      </c>
      <c r="F414" s="21" t="s">
        <v>42</v>
      </c>
      <c r="G414" s="6" t="s">
        <v>348</v>
      </c>
      <c r="H414" s="22">
        <v>168</v>
      </c>
      <c r="I414" s="9">
        <v>8</v>
      </c>
      <c r="J414" s="22">
        <f t="shared" si="5"/>
        <v>1344</v>
      </c>
      <c r="K414" s="9">
        <f t="array" ref="K414">QUARTILE(IF($F$3:$F$1460=$F414,$H$3:$H$1460),1)</f>
        <v>119</v>
      </c>
      <c r="L414" s="9">
        <f t="array" ref="L414">QUARTILE(IF($F$3:$F$1460=$F414,$H$3:$H$1460),2)</f>
        <v>181.5</v>
      </c>
      <c r="M414" s="9">
        <f t="array" ref="M414">QUARTILE(IF($F$3:$F$1460=$F414,$H$3:$H$1460),3)</f>
        <v>272</v>
      </c>
    </row>
    <row r="415" spans="1:13" x14ac:dyDescent="0.25">
      <c r="A415" s="7">
        <v>413</v>
      </c>
      <c r="B415" s="6" t="s">
        <v>97</v>
      </c>
      <c r="C415" s="7">
        <v>5359822</v>
      </c>
      <c r="D415" s="23" t="s">
        <v>318</v>
      </c>
      <c r="E415" s="6" t="s">
        <v>319</v>
      </c>
      <c r="F415" s="21" t="s">
        <v>42</v>
      </c>
      <c r="G415" s="6" t="s">
        <v>349</v>
      </c>
      <c r="H415" s="22">
        <v>138</v>
      </c>
      <c r="I415" s="9">
        <v>8</v>
      </c>
      <c r="J415" s="22">
        <f t="shared" si="5"/>
        <v>1104</v>
      </c>
      <c r="K415" s="9">
        <f t="array" ref="K415">QUARTILE(IF($F$3:$F$1460=$F415,$H$3:$H$1460),1)</f>
        <v>119</v>
      </c>
      <c r="L415" s="9">
        <f t="array" ref="L415">QUARTILE(IF($F$3:$F$1460=$F415,$H$3:$H$1460),2)</f>
        <v>181.5</v>
      </c>
      <c r="M415" s="9">
        <f t="array" ref="M415">QUARTILE(IF($F$3:$F$1460=$F415,$H$3:$H$1460),3)</f>
        <v>272</v>
      </c>
    </row>
    <row r="416" spans="1:13" x14ac:dyDescent="0.25">
      <c r="A416" s="7">
        <v>414</v>
      </c>
      <c r="B416" s="6" t="s">
        <v>97</v>
      </c>
      <c r="C416" s="7">
        <v>5359822</v>
      </c>
      <c r="D416" s="23" t="s">
        <v>318</v>
      </c>
      <c r="E416" s="6" t="s">
        <v>319</v>
      </c>
      <c r="F416" s="21" t="s">
        <v>42</v>
      </c>
      <c r="G416" s="6" t="s">
        <v>350</v>
      </c>
      <c r="H416" s="22">
        <v>182</v>
      </c>
      <c r="I416" s="9">
        <v>8</v>
      </c>
      <c r="J416" s="22">
        <f t="shared" si="5"/>
        <v>1456</v>
      </c>
      <c r="K416" s="9">
        <f t="array" ref="K416">QUARTILE(IF($F$3:$F$1460=$F416,$H$3:$H$1460),1)</f>
        <v>119</v>
      </c>
      <c r="L416" s="9">
        <f t="array" ref="L416">QUARTILE(IF($F$3:$F$1460=$F416,$H$3:$H$1460),2)</f>
        <v>181.5</v>
      </c>
      <c r="M416" s="9">
        <f t="array" ref="M416">QUARTILE(IF($F$3:$F$1460=$F416,$H$3:$H$1460),3)</f>
        <v>272</v>
      </c>
    </row>
    <row r="417" spans="1:13" x14ac:dyDescent="0.25">
      <c r="A417" s="7">
        <v>415</v>
      </c>
      <c r="B417" s="6" t="s">
        <v>97</v>
      </c>
      <c r="C417" s="7">
        <v>5359822</v>
      </c>
      <c r="D417" s="23" t="s">
        <v>318</v>
      </c>
      <c r="E417" s="6" t="s">
        <v>319</v>
      </c>
      <c r="F417" s="21" t="s">
        <v>42</v>
      </c>
      <c r="G417" s="6" t="s">
        <v>351</v>
      </c>
      <c r="H417" s="22">
        <v>234</v>
      </c>
      <c r="I417" s="9">
        <v>8</v>
      </c>
      <c r="J417" s="22">
        <f t="shared" si="5"/>
        <v>1872</v>
      </c>
      <c r="K417" s="9">
        <f t="array" ref="K417">QUARTILE(IF($F$3:$F$1460=$F417,$H$3:$H$1460),1)</f>
        <v>119</v>
      </c>
      <c r="L417" s="9">
        <f t="array" ref="L417">QUARTILE(IF($F$3:$F$1460=$F417,$H$3:$H$1460),2)</f>
        <v>181.5</v>
      </c>
      <c r="M417" s="9">
        <f t="array" ref="M417">QUARTILE(IF($F$3:$F$1460=$F417,$H$3:$H$1460),3)</f>
        <v>272</v>
      </c>
    </row>
    <row r="418" spans="1:13" x14ac:dyDescent="0.25">
      <c r="A418" s="7">
        <v>416</v>
      </c>
      <c r="B418" s="6" t="s">
        <v>97</v>
      </c>
      <c r="C418" s="7">
        <v>5359822</v>
      </c>
      <c r="D418" s="23" t="s">
        <v>318</v>
      </c>
      <c r="E418" s="6" t="s">
        <v>319</v>
      </c>
      <c r="F418" s="21" t="s">
        <v>42</v>
      </c>
      <c r="G418" s="6" t="s">
        <v>352</v>
      </c>
      <c r="H418" s="22">
        <v>265</v>
      </c>
      <c r="I418" s="9">
        <v>8</v>
      </c>
      <c r="J418" s="22">
        <f t="shared" si="5"/>
        <v>2120</v>
      </c>
      <c r="K418" s="9">
        <f t="array" ref="K418">QUARTILE(IF($F$3:$F$1460=$F418,$H$3:$H$1460),1)</f>
        <v>119</v>
      </c>
      <c r="L418" s="9">
        <f t="array" ref="L418">QUARTILE(IF($F$3:$F$1460=$F418,$H$3:$H$1460),2)</f>
        <v>181.5</v>
      </c>
      <c r="M418" s="9">
        <f t="array" ref="M418">QUARTILE(IF($F$3:$F$1460=$F418,$H$3:$H$1460),3)</f>
        <v>272</v>
      </c>
    </row>
    <row r="419" spans="1:13" x14ac:dyDescent="0.25">
      <c r="A419" s="7">
        <v>417</v>
      </c>
      <c r="B419" s="6" t="s">
        <v>97</v>
      </c>
      <c r="C419" s="7">
        <v>5359822</v>
      </c>
      <c r="D419" s="23" t="s">
        <v>318</v>
      </c>
      <c r="E419" s="6" t="s">
        <v>319</v>
      </c>
      <c r="F419" s="21" t="s">
        <v>42</v>
      </c>
      <c r="G419" s="6" t="s">
        <v>353</v>
      </c>
      <c r="H419" s="22">
        <v>298</v>
      </c>
      <c r="I419" s="9">
        <v>8</v>
      </c>
      <c r="J419" s="22">
        <f t="shared" si="5"/>
        <v>2384</v>
      </c>
      <c r="K419" s="9">
        <f t="array" ref="K419">QUARTILE(IF($F$3:$F$1460=$F419,$H$3:$H$1460),1)</f>
        <v>119</v>
      </c>
      <c r="L419" s="9">
        <f t="array" ref="L419">QUARTILE(IF($F$3:$F$1460=$F419,$H$3:$H$1460),2)</f>
        <v>181.5</v>
      </c>
      <c r="M419" s="9">
        <f t="array" ref="M419">QUARTILE(IF($F$3:$F$1460=$F419,$H$3:$H$1460),3)</f>
        <v>272</v>
      </c>
    </row>
    <row r="420" spans="1:13" x14ac:dyDescent="0.25">
      <c r="A420" s="7">
        <v>418</v>
      </c>
      <c r="B420" s="6" t="s">
        <v>97</v>
      </c>
      <c r="C420" s="7">
        <v>5359822</v>
      </c>
      <c r="D420" s="23" t="s">
        <v>318</v>
      </c>
      <c r="E420" s="6" t="s">
        <v>319</v>
      </c>
      <c r="F420" s="21" t="s">
        <v>42</v>
      </c>
      <c r="G420" s="6" t="s">
        <v>354</v>
      </c>
      <c r="H420" s="22">
        <v>335</v>
      </c>
      <c r="I420" s="9">
        <v>8</v>
      </c>
      <c r="J420" s="22">
        <f t="shared" si="5"/>
        <v>2680</v>
      </c>
      <c r="K420" s="9">
        <f t="array" ref="K420">QUARTILE(IF($F$3:$F$1460=$F420,$H$3:$H$1460),1)</f>
        <v>119</v>
      </c>
      <c r="L420" s="9">
        <f t="array" ref="L420">QUARTILE(IF($F$3:$F$1460=$F420,$H$3:$H$1460),2)</f>
        <v>181.5</v>
      </c>
      <c r="M420" s="9">
        <f t="array" ref="M420">QUARTILE(IF($F$3:$F$1460=$F420,$H$3:$H$1460),3)</f>
        <v>272</v>
      </c>
    </row>
    <row r="421" spans="1:13" x14ac:dyDescent="0.25">
      <c r="A421" s="7">
        <v>419</v>
      </c>
      <c r="B421" s="6" t="s">
        <v>97</v>
      </c>
      <c r="C421" s="7">
        <v>5359822</v>
      </c>
      <c r="D421" s="23" t="s">
        <v>318</v>
      </c>
      <c r="E421" s="6" t="s">
        <v>319</v>
      </c>
      <c r="F421" s="21" t="s">
        <v>42</v>
      </c>
      <c r="G421" s="6" t="s">
        <v>355</v>
      </c>
      <c r="H421" s="22">
        <v>67.400000000000006</v>
      </c>
      <c r="I421" s="9">
        <v>2</v>
      </c>
      <c r="J421" s="22">
        <f t="shared" si="5"/>
        <v>134.80000000000001</v>
      </c>
      <c r="K421" s="9">
        <f t="array" ref="K421">QUARTILE(IF($F$3:$F$1460=$F421,$H$3:$H$1460),1)</f>
        <v>119</v>
      </c>
      <c r="L421" s="9">
        <f t="array" ref="L421">QUARTILE(IF($F$3:$F$1460=$F421,$H$3:$H$1460),2)</f>
        <v>181.5</v>
      </c>
      <c r="M421" s="9">
        <f t="array" ref="M421">QUARTILE(IF($F$3:$F$1460=$F421,$H$3:$H$1460),3)</f>
        <v>272</v>
      </c>
    </row>
    <row r="422" spans="1:13" x14ac:dyDescent="0.25">
      <c r="A422" s="7">
        <v>420</v>
      </c>
      <c r="B422" s="6" t="s">
        <v>97</v>
      </c>
      <c r="C422" s="7">
        <v>5359822</v>
      </c>
      <c r="D422" s="23" t="s">
        <v>318</v>
      </c>
      <c r="E422" s="6" t="s">
        <v>319</v>
      </c>
      <c r="F422" s="21" t="s">
        <v>42</v>
      </c>
      <c r="G422" s="6" t="s">
        <v>356</v>
      </c>
      <c r="H422" s="22">
        <v>298</v>
      </c>
      <c r="I422" s="9">
        <v>2</v>
      </c>
      <c r="J422" s="22">
        <f t="shared" si="5"/>
        <v>596</v>
      </c>
      <c r="K422" s="9">
        <f t="array" ref="K422">QUARTILE(IF($F$3:$F$1460=$F422,$H$3:$H$1460),1)</f>
        <v>119</v>
      </c>
      <c r="L422" s="9">
        <f t="array" ref="L422">QUARTILE(IF($F$3:$F$1460=$F422,$H$3:$H$1460),2)</f>
        <v>181.5</v>
      </c>
      <c r="M422" s="9">
        <f t="array" ref="M422">QUARTILE(IF($F$3:$F$1460=$F422,$H$3:$H$1460),3)</f>
        <v>272</v>
      </c>
    </row>
    <row r="423" spans="1:13" x14ac:dyDescent="0.25">
      <c r="A423" s="7">
        <v>421</v>
      </c>
      <c r="B423" s="6" t="s">
        <v>97</v>
      </c>
      <c r="C423" s="7">
        <v>5359822</v>
      </c>
      <c r="D423" s="23" t="s">
        <v>318</v>
      </c>
      <c r="E423" s="6" t="s">
        <v>319</v>
      </c>
      <c r="F423" s="21" t="s">
        <v>42</v>
      </c>
      <c r="G423" s="6" t="s">
        <v>357</v>
      </c>
      <c r="H423" s="22">
        <v>315</v>
      </c>
      <c r="I423" s="9">
        <v>2</v>
      </c>
      <c r="J423" s="22">
        <f t="shared" si="5"/>
        <v>630</v>
      </c>
      <c r="K423" s="9">
        <f t="array" ref="K423">QUARTILE(IF($F$3:$F$1460=$F423,$H$3:$H$1460),1)</f>
        <v>119</v>
      </c>
      <c r="L423" s="9">
        <f t="array" ref="L423">QUARTILE(IF($F$3:$F$1460=$F423,$H$3:$H$1460),2)</f>
        <v>181.5</v>
      </c>
      <c r="M423" s="9">
        <f t="array" ref="M423">QUARTILE(IF($F$3:$F$1460=$F423,$H$3:$H$1460),3)</f>
        <v>272</v>
      </c>
    </row>
    <row r="424" spans="1:13" x14ac:dyDescent="0.25">
      <c r="A424" s="7">
        <v>422</v>
      </c>
      <c r="B424" s="6" t="s">
        <v>97</v>
      </c>
      <c r="C424" s="7">
        <v>5359822</v>
      </c>
      <c r="D424" s="23" t="s">
        <v>318</v>
      </c>
      <c r="E424" s="6" t="s">
        <v>319</v>
      </c>
      <c r="F424" s="21" t="s">
        <v>42</v>
      </c>
      <c r="G424" s="6" t="s">
        <v>358</v>
      </c>
      <c r="H424" s="22">
        <v>38</v>
      </c>
      <c r="I424" s="9">
        <v>1</v>
      </c>
      <c r="J424" s="22">
        <f t="shared" si="5"/>
        <v>38</v>
      </c>
      <c r="K424" s="9">
        <f t="array" ref="K424">QUARTILE(IF($F$3:$F$1460=$F424,$H$3:$H$1460),1)</f>
        <v>119</v>
      </c>
      <c r="L424" s="9">
        <f t="array" ref="L424">QUARTILE(IF($F$3:$F$1460=$F424,$H$3:$H$1460),2)</f>
        <v>181.5</v>
      </c>
      <c r="M424" s="9">
        <f t="array" ref="M424">QUARTILE(IF($F$3:$F$1460=$F424,$H$3:$H$1460),3)</f>
        <v>272</v>
      </c>
    </row>
    <row r="425" spans="1:13" x14ac:dyDescent="0.25">
      <c r="A425" s="7">
        <v>423</v>
      </c>
      <c r="B425" s="6" t="s">
        <v>97</v>
      </c>
      <c r="C425" s="7">
        <v>5359822</v>
      </c>
      <c r="D425" s="23" t="s">
        <v>318</v>
      </c>
      <c r="E425" s="6" t="s">
        <v>319</v>
      </c>
      <c r="F425" s="21" t="s">
        <v>42</v>
      </c>
      <c r="G425" s="6" t="s">
        <v>359</v>
      </c>
      <c r="H425" s="22">
        <v>47</v>
      </c>
      <c r="I425" s="9">
        <v>1</v>
      </c>
      <c r="J425" s="22">
        <f t="shared" si="5"/>
        <v>47</v>
      </c>
      <c r="K425" s="9">
        <f t="array" ref="K425">QUARTILE(IF($F$3:$F$1460=$F425,$H$3:$H$1460),1)</f>
        <v>119</v>
      </c>
      <c r="L425" s="9">
        <f t="array" ref="L425">QUARTILE(IF($F$3:$F$1460=$F425,$H$3:$H$1460),2)</f>
        <v>181.5</v>
      </c>
      <c r="M425" s="9">
        <f t="array" ref="M425">QUARTILE(IF($F$3:$F$1460=$F425,$H$3:$H$1460),3)</f>
        <v>272</v>
      </c>
    </row>
    <row r="426" spans="1:13" x14ac:dyDescent="0.25">
      <c r="A426" s="7">
        <v>424</v>
      </c>
      <c r="B426" s="6" t="s">
        <v>97</v>
      </c>
      <c r="C426" s="7">
        <v>5359822</v>
      </c>
      <c r="D426" s="23" t="s">
        <v>318</v>
      </c>
      <c r="E426" s="6" t="s">
        <v>319</v>
      </c>
      <c r="F426" s="21" t="s">
        <v>42</v>
      </c>
      <c r="G426" s="6" t="s">
        <v>360</v>
      </c>
      <c r="H426" s="22">
        <v>64</v>
      </c>
      <c r="I426" s="9">
        <v>1</v>
      </c>
      <c r="J426" s="22">
        <f t="shared" si="5"/>
        <v>64</v>
      </c>
      <c r="K426" s="9">
        <f t="array" ref="K426">QUARTILE(IF($F$3:$F$1460=$F426,$H$3:$H$1460),1)</f>
        <v>119</v>
      </c>
      <c r="L426" s="9">
        <f t="array" ref="L426">QUARTILE(IF($F$3:$F$1460=$F426,$H$3:$H$1460),2)</f>
        <v>181.5</v>
      </c>
      <c r="M426" s="9">
        <f t="array" ref="M426">QUARTILE(IF($F$3:$F$1460=$F426,$H$3:$H$1460),3)</f>
        <v>272</v>
      </c>
    </row>
    <row r="427" spans="1:13" x14ac:dyDescent="0.25">
      <c r="A427" s="7">
        <v>425</v>
      </c>
      <c r="B427" s="6" t="s">
        <v>97</v>
      </c>
      <c r="C427" s="7">
        <v>5359822</v>
      </c>
      <c r="D427" s="23" t="s">
        <v>318</v>
      </c>
      <c r="E427" s="6" t="s">
        <v>319</v>
      </c>
      <c r="F427" s="21" t="s">
        <v>42</v>
      </c>
      <c r="G427" s="6" t="s">
        <v>361</v>
      </c>
      <c r="H427" s="22">
        <v>75</v>
      </c>
      <c r="I427" s="9">
        <v>2</v>
      </c>
      <c r="J427" s="22">
        <f t="shared" si="5"/>
        <v>150</v>
      </c>
      <c r="K427" s="9">
        <f t="array" ref="K427">QUARTILE(IF($F$3:$F$1460=$F427,$H$3:$H$1460),1)</f>
        <v>119</v>
      </c>
      <c r="L427" s="9">
        <f t="array" ref="L427">QUARTILE(IF($F$3:$F$1460=$F427,$H$3:$H$1460),2)</f>
        <v>181.5</v>
      </c>
      <c r="M427" s="9">
        <f t="array" ref="M427">QUARTILE(IF($F$3:$F$1460=$F427,$H$3:$H$1460),3)</f>
        <v>272</v>
      </c>
    </row>
    <row r="428" spans="1:13" x14ac:dyDescent="0.25">
      <c r="A428" s="7">
        <v>426</v>
      </c>
      <c r="B428" s="6" t="s">
        <v>97</v>
      </c>
      <c r="C428" s="7">
        <v>5359822</v>
      </c>
      <c r="D428" s="23" t="s">
        <v>318</v>
      </c>
      <c r="E428" s="6" t="s">
        <v>319</v>
      </c>
      <c r="F428" s="21" t="s">
        <v>42</v>
      </c>
      <c r="G428" s="6" t="s">
        <v>362</v>
      </c>
      <c r="H428" s="22">
        <v>72</v>
      </c>
      <c r="I428" s="9">
        <v>2</v>
      </c>
      <c r="J428" s="22">
        <f t="shared" si="5"/>
        <v>144</v>
      </c>
      <c r="K428" s="9">
        <f t="array" ref="K428">QUARTILE(IF($F$3:$F$1460=$F428,$H$3:$H$1460),1)</f>
        <v>119</v>
      </c>
      <c r="L428" s="9">
        <f t="array" ref="L428">QUARTILE(IF($F$3:$F$1460=$F428,$H$3:$H$1460),2)</f>
        <v>181.5</v>
      </c>
      <c r="M428" s="9">
        <f t="array" ref="M428">QUARTILE(IF($F$3:$F$1460=$F428,$H$3:$H$1460),3)</f>
        <v>272</v>
      </c>
    </row>
    <row r="429" spans="1:13" x14ac:dyDescent="0.25">
      <c r="A429" s="7">
        <v>427</v>
      </c>
      <c r="B429" s="6" t="s">
        <v>97</v>
      </c>
      <c r="C429" s="7">
        <v>5359822</v>
      </c>
      <c r="D429" s="23" t="s">
        <v>318</v>
      </c>
      <c r="E429" s="6" t="s">
        <v>319</v>
      </c>
      <c r="F429" s="21" t="s">
        <v>42</v>
      </c>
      <c r="G429" s="6" t="s">
        <v>363</v>
      </c>
      <c r="H429" s="22">
        <v>119</v>
      </c>
      <c r="I429" s="9">
        <v>2</v>
      </c>
      <c r="J429" s="22">
        <f t="shared" si="5"/>
        <v>238</v>
      </c>
      <c r="K429" s="9">
        <f t="array" ref="K429">QUARTILE(IF($F$3:$F$1460=$F429,$H$3:$H$1460),1)</f>
        <v>119</v>
      </c>
      <c r="L429" s="9">
        <f t="array" ref="L429">QUARTILE(IF($F$3:$F$1460=$F429,$H$3:$H$1460),2)</f>
        <v>181.5</v>
      </c>
      <c r="M429" s="9">
        <f t="array" ref="M429">QUARTILE(IF($F$3:$F$1460=$F429,$H$3:$H$1460),3)</f>
        <v>272</v>
      </c>
    </row>
    <row r="430" spans="1:13" x14ac:dyDescent="0.25">
      <c r="A430" s="7">
        <v>428</v>
      </c>
      <c r="B430" s="6" t="s">
        <v>97</v>
      </c>
      <c r="C430" s="7">
        <v>5359822</v>
      </c>
      <c r="D430" s="23" t="s">
        <v>318</v>
      </c>
      <c r="E430" s="6" t="s">
        <v>319</v>
      </c>
      <c r="F430" s="21" t="s">
        <v>42</v>
      </c>
      <c r="G430" s="6" t="s">
        <v>364</v>
      </c>
      <c r="H430" s="22">
        <v>124</v>
      </c>
      <c r="I430" s="9">
        <v>5</v>
      </c>
      <c r="J430" s="22">
        <f t="shared" si="5"/>
        <v>620</v>
      </c>
      <c r="K430" s="9">
        <f t="array" ref="K430">QUARTILE(IF($F$3:$F$1460=$F430,$H$3:$H$1460),1)</f>
        <v>119</v>
      </c>
      <c r="L430" s="9">
        <f t="array" ref="L430">QUARTILE(IF($F$3:$F$1460=$F430,$H$3:$H$1460),2)</f>
        <v>181.5</v>
      </c>
      <c r="M430" s="9">
        <f t="array" ref="M430">QUARTILE(IF($F$3:$F$1460=$F430,$H$3:$H$1460),3)</f>
        <v>272</v>
      </c>
    </row>
    <row r="431" spans="1:13" x14ac:dyDescent="0.25">
      <c r="A431" s="7">
        <v>429</v>
      </c>
      <c r="B431" s="6" t="s">
        <v>97</v>
      </c>
      <c r="C431" s="7">
        <v>5359822</v>
      </c>
      <c r="D431" s="23" t="s">
        <v>318</v>
      </c>
      <c r="E431" s="6" t="s">
        <v>319</v>
      </c>
      <c r="F431" s="21" t="s">
        <v>42</v>
      </c>
      <c r="G431" s="6" t="s">
        <v>365</v>
      </c>
      <c r="H431" s="22">
        <v>395</v>
      </c>
      <c r="I431" s="9">
        <v>5</v>
      </c>
      <c r="J431" s="22">
        <f t="shared" si="5"/>
        <v>1975</v>
      </c>
      <c r="K431" s="9">
        <f t="array" ref="K431">QUARTILE(IF($F$3:$F$1460=$F431,$H$3:$H$1460),1)</f>
        <v>119</v>
      </c>
      <c r="L431" s="9">
        <f t="array" ref="L431">QUARTILE(IF($F$3:$F$1460=$F431,$H$3:$H$1460),2)</f>
        <v>181.5</v>
      </c>
      <c r="M431" s="9">
        <f t="array" ref="M431">QUARTILE(IF($F$3:$F$1460=$F431,$H$3:$H$1460),3)</f>
        <v>272</v>
      </c>
    </row>
    <row r="432" spans="1:13" x14ac:dyDescent="0.25">
      <c r="A432" s="7">
        <v>430</v>
      </c>
      <c r="B432" s="6" t="s">
        <v>97</v>
      </c>
      <c r="C432" s="7">
        <v>5359822</v>
      </c>
      <c r="D432" s="23" t="s">
        <v>318</v>
      </c>
      <c r="E432" s="6" t="s">
        <v>319</v>
      </c>
      <c r="F432" s="21" t="s">
        <v>42</v>
      </c>
      <c r="G432" s="6" t="s">
        <v>366</v>
      </c>
      <c r="H432" s="22">
        <v>495</v>
      </c>
      <c r="I432" s="9">
        <v>1</v>
      </c>
      <c r="J432" s="22">
        <f t="shared" si="5"/>
        <v>495</v>
      </c>
      <c r="K432" s="9">
        <f t="array" ref="K432">QUARTILE(IF($F$3:$F$1460=$F432,$H$3:$H$1460),1)</f>
        <v>119</v>
      </c>
      <c r="L432" s="9">
        <f t="array" ref="L432">QUARTILE(IF($F$3:$F$1460=$F432,$H$3:$H$1460),2)</f>
        <v>181.5</v>
      </c>
      <c r="M432" s="9">
        <f t="array" ref="M432">QUARTILE(IF($F$3:$F$1460=$F432,$H$3:$H$1460),3)</f>
        <v>272</v>
      </c>
    </row>
    <row r="433" spans="1:13" x14ac:dyDescent="0.25">
      <c r="A433" s="7">
        <v>431</v>
      </c>
      <c r="B433" s="6" t="s">
        <v>97</v>
      </c>
      <c r="C433" s="7">
        <v>5359822</v>
      </c>
      <c r="D433" s="23" t="s">
        <v>318</v>
      </c>
      <c r="E433" s="6" t="s">
        <v>319</v>
      </c>
      <c r="F433" s="21" t="s">
        <v>42</v>
      </c>
      <c r="G433" s="6" t="s">
        <v>367</v>
      </c>
      <c r="H433" s="22">
        <v>450.08</v>
      </c>
      <c r="I433" s="9">
        <v>1</v>
      </c>
      <c r="J433" s="22">
        <f t="shared" si="5"/>
        <v>450.08</v>
      </c>
      <c r="K433" s="9">
        <f t="array" ref="K433">QUARTILE(IF($F$3:$F$1460=$F433,$H$3:$H$1460),1)</f>
        <v>119</v>
      </c>
      <c r="L433" s="9">
        <f t="array" ref="L433">QUARTILE(IF($F$3:$F$1460=$F433,$H$3:$H$1460),2)</f>
        <v>181.5</v>
      </c>
      <c r="M433" s="9">
        <f t="array" ref="M433">QUARTILE(IF($F$3:$F$1460=$F433,$H$3:$H$1460),3)</f>
        <v>272</v>
      </c>
    </row>
    <row r="434" spans="1:13" x14ac:dyDescent="0.25">
      <c r="A434" s="7">
        <v>432</v>
      </c>
      <c r="B434" s="6" t="s">
        <v>97</v>
      </c>
      <c r="C434" s="7">
        <v>5359822</v>
      </c>
      <c r="D434" s="23" t="s">
        <v>318</v>
      </c>
      <c r="E434" s="6" t="s">
        <v>319</v>
      </c>
      <c r="F434" s="21" t="s">
        <v>42</v>
      </c>
      <c r="G434" s="6" t="s">
        <v>368</v>
      </c>
      <c r="H434" s="22">
        <v>99.5</v>
      </c>
      <c r="I434" s="9">
        <v>10</v>
      </c>
      <c r="J434" s="22">
        <f t="shared" si="5"/>
        <v>995</v>
      </c>
      <c r="K434" s="9">
        <f t="array" ref="K434">QUARTILE(IF($F$3:$F$1460=$F434,$H$3:$H$1460),1)</f>
        <v>119</v>
      </c>
      <c r="L434" s="9">
        <f t="array" ref="L434">QUARTILE(IF($F$3:$F$1460=$F434,$H$3:$H$1460),2)</f>
        <v>181.5</v>
      </c>
      <c r="M434" s="9">
        <f t="array" ref="M434">QUARTILE(IF($F$3:$F$1460=$F434,$H$3:$H$1460),3)</f>
        <v>272</v>
      </c>
    </row>
    <row r="435" spans="1:13" x14ac:dyDescent="0.25">
      <c r="A435" s="7">
        <v>433</v>
      </c>
      <c r="B435" s="6" t="s">
        <v>97</v>
      </c>
      <c r="C435" s="7">
        <v>5359822</v>
      </c>
      <c r="D435" s="23" t="s">
        <v>318</v>
      </c>
      <c r="E435" s="6" t="s">
        <v>319</v>
      </c>
      <c r="F435" s="21" t="s">
        <v>42</v>
      </c>
      <c r="G435" s="6" t="s">
        <v>369</v>
      </c>
      <c r="H435" s="22">
        <v>137</v>
      </c>
      <c r="I435" s="9">
        <v>10</v>
      </c>
      <c r="J435" s="22">
        <f t="shared" si="5"/>
        <v>1370</v>
      </c>
      <c r="K435" s="9">
        <f t="array" ref="K435">QUARTILE(IF($F$3:$F$1460=$F435,$H$3:$H$1460),1)</f>
        <v>119</v>
      </c>
      <c r="L435" s="9">
        <f t="array" ref="L435">QUARTILE(IF($F$3:$F$1460=$F435,$H$3:$H$1460),2)</f>
        <v>181.5</v>
      </c>
      <c r="M435" s="9">
        <f t="array" ref="M435">QUARTILE(IF($F$3:$F$1460=$F435,$H$3:$H$1460),3)</f>
        <v>272</v>
      </c>
    </row>
    <row r="436" spans="1:13" x14ac:dyDescent="0.25">
      <c r="A436" s="7">
        <v>434</v>
      </c>
      <c r="B436" s="6" t="s">
        <v>97</v>
      </c>
      <c r="C436" s="7">
        <v>5359822</v>
      </c>
      <c r="D436" s="23" t="s">
        <v>318</v>
      </c>
      <c r="E436" s="6" t="s">
        <v>319</v>
      </c>
      <c r="F436" s="21" t="s">
        <v>42</v>
      </c>
      <c r="G436" s="6" t="s">
        <v>370</v>
      </c>
      <c r="H436" s="22">
        <v>139.5</v>
      </c>
      <c r="I436" s="9">
        <v>10</v>
      </c>
      <c r="J436" s="22">
        <f t="shared" si="5"/>
        <v>1395</v>
      </c>
      <c r="K436" s="9">
        <f t="array" ref="K436">QUARTILE(IF($F$3:$F$1460=$F436,$H$3:$H$1460),1)</f>
        <v>119</v>
      </c>
      <c r="L436" s="9">
        <f t="array" ref="L436">QUARTILE(IF($F$3:$F$1460=$F436,$H$3:$H$1460),2)</f>
        <v>181.5</v>
      </c>
      <c r="M436" s="9">
        <f t="array" ref="M436">QUARTILE(IF($F$3:$F$1460=$F436,$H$3:$H$1460),3)</f>
        <v>272</v>
      </c>
    </row>
    <row r="437" spans="1:13" x14ac:dyDescent="0.25">
      <c r="A437" s="7">
        <v>435</v>
      </c>
      <c r="B437" s="6" t="s">
        <v>97</v>
      </c>
      <c r="C437" s="7">
        <v>5359822</v>
      </c>
      <c r="D437" s="23" t="s">
        <v>318</v>
      </c>
      <c r="E437" s="6" t="s">
        <v>319</v>
      </c>
      <c r="F437" s="21" t="s">
        <v>42</v>
      </c>
      <c r="G437" s="6" t="s">
        <v>371</v>
      </c>
      <c r="H437" s="22">
        <v>162</v>
      </c>
      <c r="I437" s="9">
        <v>10</v>
      </c>
      <c r="J437" s="22">
        <f t="shared" si="5"/>
        <v>1620</v>
      </c>
      <c r="K437" s="9">
        <f t="array" ref="K437">QUARTILE(IF($F$3:$F$1460=$F437,$H$3:$H$1460),1)</f>
        <v>119</v>
      </c>
      <c r="L437" s="9">
        <f t="array" ref="L437">QUARTILE(IF($F$3:$F$1460=$F437,$H$3:$H$1460),2)</f>
        <v>181.5</v>
      </c>
      <c r="M437" s="9">
        <f t="array" ref="M437">QUARTILE(IF($F$3:$F$1460=$F437,$H$3:$H$1460),3)</f>
        <v>272</v>
      </c>
    </row>
    <row r="438" spans="1:13" x14ac:dyDescent="0.25">
      <c r="A438" s="7">
        <v>436</v>
      </c>
      <c r="B438" s="6" t="s">
        <v>97</v>
      </c>
      <c r="C438" s="7">
        <v>5359822</v>
      </c>
      <c r="D438" s="23" t="s">
        <v>318</v>
      </c>
      <c r="E438" s="6" t="s">
        <v>319</v>
      </c>
      <c r="F438" s="21" t="s">
        <v>42</v>
      </c>
      <c r="G438" s="6" t="s">
        <v>372</v>
      </c>
      <c r="H438" s="22">
        <v>181.5</v>
      </c>
      <c r="I438" s="9">
        <v>10</v>
      </c>
      <c r="J438" s="22">
        <f t="shared" si="5"/>
        <v>1815</v>
      </c>
      <c r="K438" s="9">
        <f t="array" ref="K438">QUARTILE(IF($F$3:$F$1460=$F438,$H$3:$H$1460),1)</f>
        <v>119</v>
      </c>
      <c r="L438" s="9">
        <f t="array" ref="L438">QUARTILE(IF($F$3:$F$1460=$F438,$H$3:$H$1460),2)</f>
        <v>181.5</v>
      </c>
      <c r="M438" s="9">
        <f t="array" ref="M438">QUARTILE(IF($F$3:$F$1460=$F438,$H$3:$H$1460),3)</f>
        <v>272</v>
      </c>
    </row>
    <row r="439" spans="1:13" x14ac:dyDescent="0.25">
      <c r="A439" s="7">
        <v>437</v>
      </c>
      <c r="B439" s="6" t="s">
        <v>97</v>
      </c>
      <c r="C439" s="7">
        <v>5359822</v>
      </c>
      <c r="D439" s="23" t="s">
        <v>318</v>
      </c>
      <c r="E439" s="6" t="s">
        <v>319</v>
      </c>
      <c r="F439" s="21" t="s">
        <v>42</v>
      </c>
      <c r="G439" s="6" t="s">
        <v>373</v>
      </c>
      <c r="H439" s="22">
        <v>188</v>
      </c>
      <c r="I439" s="9">
        <v>10</v>
      </c>
      <c r="J439" s="22">
        <f t="shared" si="5"/>
        <v>1880</v>
      </c>
      <c r="K439" s="9">
        <f t="array" ref="K439">QUARTILE(IF($F$3:$F$1460=$F439,$H$3:$H$1460),1)</f>
        <v>119</v>
      </c>
      <c r="L439" s="9">
        <f t="array" ref="L439">QUARTILE(IF($F$3:$F$1460=$F439,$H$3:$H$1460),2)</f>
        <v>181.5</v>
      </c>
      <c r="M439" s="9">
        <f t="array" ref="M439">QUARTILE(IF($F$3:$F$1460=$F439,$H$3:$H$1460),3)</f>
        <v>272</v>
      </c>
    </row>
    <row r="440" spans="1:13" x14ac:dyDescent="0.25">
      <c r="A440" s="7">
        <v>438</v>
      </c>
      <c r="B440" s="6" t="s">
        <v>97</v>
      </c>
      <c r="C440" s="7">
        <v>5359822</v>
      </c>
      <c r="D440" s="23" t="s">
        <v>318</v>
      </c>
      <c r="E440" s="6" t="s">
        <v>319</v>
      </c>
      <c r="F440" s="21" t="s">
        <v>42</v>
      </c>
      <c r="G440" s="6" t="s">
        <v>374</v>
      </c>
      <c r="H440" s="22">
        <v>180.4</v>
      </c>
      <c r="I440" s="9">
        <v>10</v>
      </c>
      <c r="J440" s="22">
        <f t="shared" si="5"/>
        <v>1804</v>
      </c>
      <c r="K440" s="9">
        <f t="array" ref="K440">QUARTILE(IF($F$3:$F$1460=$F440,$H$3:$H$1460),1)</f>
        <v>119</v>
      </c>
      <c r="L440" s="9">
        <f t="array" ref="L440">QUARTILE(IF($F$3:$F$1460=$F440,$H$3:$H$1460),2)</f>
        <v>181.5</v>
      </c>
      <c r="M440" s="9">
        <f t="array" ref="M440">QUARTILE(IF($F$3:$F$1460=$F440,$H$3:$H$1460),3)</f>
        <v>272</v>
      </c>
    </row>
    <row r="441" spans="1:13" x14ac:dyDescent="0.25">
      <c r="A441" s="7">
        <v>439</v>
      </c>
      <c r="B441" s="6" t="s">
        <v>97</v>
      </c>
      <c r="C441" s="7">
        <v>5359822</v>
      </c>
      <c r="D441" s="23" t="s">
        <v>318</v>
      </c>
      <c r="E441" s="6" t="s">
        <v>319</v>
      </c>
      <c r="F441" s="21" t="s">
        <v>42</v>
      </c>
      <c r="G441" s="6" t="s">
        <v>375</v>
      </c>
      <c r="H441" s="22">
        <v>187.4</v>
      </c>
      <c r="I441" s="9">
        <v>10</v>
      </c>
      <c r="J441" s="22">
        <f t="shared" si="5"/>
        <v>1874</v>
      </c>
      <c r="K441" s="9">
        <f t="array" ref="K441">QUARTILE(IF($F$3:$F$1460=$F441,$H$3:$H$1460),1)</f>
        <v>119</v>
      </c>
      <c r="L441" s="9">
        <f t="array" ref="L441">QUARTILE(IF($F$3:$F$1460=$F441,$H$3:$H$1460),2)</f>
        <v>181.5</v>
      </c>
      <c r="M441" s="9">
        <f t="array" ref="M441">QUARTILE(IF($F$3:$F$1460=$F441,$H$3:$H$1460),3)</f>
        <v>272</v>
      </c>
    </row>
    <row r="442" spans="1:13" x14ac:dyDescent="0.25">
      <c r="A442" s="7">
        <v>440</v>
      </c>
      <c r="B442" s="6" t="s">
        <v>97</v>
      </c>
      <c r="C442" s="7">
        <v>5359822</v>
      </c>
      <c r="D442" s="23" t="s">
        <v>318</v>
      </c>
      <c r="E442" s="6" t="s">
        <v>319</v>
      </c>
      <c r="F442" s="21" t="s">
        <v>42</v>
      </c>
      <c r="G442" s="6" t="s">
        <v>376</v>
      </c>
      <c r="H442" s="22">
        <v>235</v>
      </c>
      <c r="I442" s="9">
        <v>10</v>
      </c>
      <c r="J442" s="22">
        <f t="shared" si="5"/>
        <v>2350</v>
      </c>
      <c r="K442" s="9">
        <f t="array" ref="K442">QUARTILE(IF($F$3:$F$1460=$F442,$H$3:$H$1460),1)</f>
        <v>119</v>
      </c>
      <c r="L442" s="9">
        <f t="array" ref="L442">QUARTILE(IF($F$3:$F$1460=$F442,$H$3:$H$1460),2)</f>
        <v>181.5</v>
      </c>
      <c r="M442" s="9">
        <f t="array" ref="M442">QUARTILE(IF($F$3:$F$1460=$F442,$H$3:$H$1460),3)</f>
        <v>272</v>
      </c>
    </row>
    <row r="443" spans="1:13" x14ac:dyDescent="0.25">
      <c r="A443" s="7">
        <v>441</v>
      </c>
      <c r="B443" s="6" t="s">
        <v>97</v>
      </c>
      <c r="C443" s="7">
        <v>5359822</v>
      </c>
      <c r="D443" s="23" t="s">
        <v>318</v>
      </c>
      <c r="E443" s="6" t="s">
        <v>319</v>
      </c>
      <c r="F443" s="21" t="s">
        <v>42</v>
      </c>
      <c r="G443" s="6" t="s">
        <v>377</v>
      </c>
      <c r="H443" s="22">
        <v>257.39999999999998</v>
      </c>
      <c r="I443" s="9">
        <v>10</v>
      </c>
      <c r="J443" s="22">
        <f t="shared" si="5"/>
        <v>2574</v>
      </c>
      <c r="K443" s="9">
        <f t="array" ref="K443">QUARTILE(IF($F$3:$F$1460=$F443,$H$3:$H$1460),1)</f>
        <v>119</v>
      </c>
      <c r="L443" s="9">
        <f t="array" ref="L443">QUARTILE(IF($F$3:$F$1460=$F443,$H$3:$H$1460),2)</f>
        <v>181.5</v>
      </c>
      <c r="M443" s="9">
        <f t="array" ref="M443">QUARTILE(IF($F$3:$F$1460=$F443,$H$3:$H$1460),3)</f>
        <v>272</v>
      </c>
    </row>
    <row r="444" spans="1:13" x14ac:dyDescent="0.25">
      <c r="A444" s="7">
        <v>442</v>
      </c>
      <c r="B444" s="6" t="s">
        <v>97</v>
      </c>
      <c r="C444" s="7">
        <v>5359822</v>
      </c>
      <c r="D444" s="23" t="s">
        <v>318</v>
      </c>
      <c r="E444" s="6" t="s">
        <v>319</v>
      </c>
      <c r="F444" s="21" t="s">
        <v>42</v>
      </c>
      <c r="G444" s="6" t="s">
        <v>378</v>
      </c>
      <c r="H444" s="22">
        <v>262.5</v>
      </c>
      <c r="I444" s="9">
        <v>10</v>
      </c>
      <c r="J444" s="22">
        <f t="shared" si="5"/>
        <v>2625</v>
      </c>
      <c r="K444" s="9">
        <f t="array" ref="K444">QUARTILE(IF($F$3:$F$1460=$F444,$H$3:$H$1460),1)</f>
        <v>119</v>
      </c>
      <c r="L444" s="9">
        <f t="array" ref="L444">QUARTILE(IF($F$3:$F$1460=$F444,$H$3:$H$1460),2)</f>
        <v>181.5</v>
      </c>
      <c r="M444" s="9">
        <f t="array" ref="M444">QUARTILE(IF($F$3:$F$1460=$F444,$H$3:$H$1460),3)</f>
        <v>272</v>
      </c>
    </row>
    <row r="445" spans="1:13" x14ac:dyDescent="0.25">
      <c r="A445" s="7">
        <v>443</v>
      </c>
      <c r="B445" s="6" t="s">
        <v>97</v>
      </c>
      <c r="C445" s="7">
        <v>5359822</v>
      </c>
      <c r="D445" s="23" t="s">
        <v>318</v>
      </c>
      <c r="E445" s="6" t="s">
        <v>319</v>
      </c>
      <c r="F445" s="21" t="s">
        <v>42</v>
      </c>
      <c r="G445" s="6" t="s">
        <v>379</v>
      </c>
      <c r="H445" s="22">
        <v>309</v>
      </c>
      <c r="I445" s="9">
        <v>10</v>
      </c>
      <c r="J445" s="22">
        <f t="shared" si="5"/>
        <v>3090</v>
      </c>
      <c r="K445" s="9">
        <f t="array" ref="K445">QUARTILE(IF($F$3:$F$1460=$F445,$H$3:$H$1460),1)</f>
        <v>119</v>
      </c>
      <c r="L445" s="9">
        <f t="array" ref="L445">QUARTILE(IF($F$3:$F$1460=$F445,$H$3:$H$1460),2)</f>
        <v>181.5</v>
      </c>
      <c r="M445" s="9">
        <f t="array" ref="M445">QUARTILE(IF($F$3:$F$1460=$F445,$H$3:$H$1460),3)</f>
        <v>272</v>
      </c>
    </row>
    <row r="446" spans="1:13" x14ac:dyDescent="0.25">
      <c r="A446" s="7">
        <v>444</v>
      </c>
      <c r="B446" s="6" t="s">
        <v>97</v>
      </c>
      <c r="C446" s="7">
        <v>5359822</v>
      </c>
      <c r="D446" s="23" t="s">
        <v>318</v>
      </c>
      <c r="E446" s="6" t="s">
        <v>319</v>
      </c>
      <c r="F446" s="21" t="s">
        <v>42</v>
      </c>
      <c r="G446" s="6" t="s">
        <v>380</v>
      </c>
      <c r="H446" s="22">
        <v>337</v>
      </c>
      <c r="I446" s="9">
        <v>10</v>
      </c>
      <c r="J446" s="22">
        <f t="shared" si="5"/>
        <v>3370</v>
      </c>
      <c r="K446" s="9">
        <f t="array" ref="K446">QUARTILE(IF($F$3:$F$1460=$F446,$H$3:$H$1460),1)</f>
        <v>119</v>
      </c>
      <c r="L446" s="9">
        <f t="array" ref="L446">QUARTILE(IF($F$3:$F$1460=$F446,$H$3:$H$1460),2)</f>
        <v>181.5</v>
      </c>
      <c r="M446" s="9">
        <f t="array" ref="M446">QUARTILE(IF($F$3:$F$1460=$F446,$H$3:$H$1460),3)</f>
        <v>272</v>
      </c>
    </row>
    <row r="447" spans="1:13" x14ac:dyDescent="0.25">
      <c r="A447" s="7">
        <v>445</v>
      </c>
      <c r="B447" s="6" t="s">
        <v>97</v>
      </c>
      <c r="C447" s="7">
        <v>5359822</v>
      </c>
      <c r="D447" s="23" t="s">
        <v>318</v>
      </c>
      <c r="E447" s="6" t="s">
        <v>319</v>
      </c>
      <c r="F447" s="21" t="s">
        <v>42</v>
      </c>
      <c r="G447" s="6" t="s">
        <v>381</v>
      </c>
      <c r="H447" s="22">
        <v>354.92</v>
      </c>
      <c r="I447" s="9">
        <v>10</v>
      </c>
      <c r="J447" s="22">
        <f t="shared" si="5"/>
        <v>3549.2000000000003</v>
      </c>
      <c r="K447" s="9">
        <f t="array" ref="K447">QUARTILE(IF($F$3:$F$1460=$F447,$H$3:$H$1460),1)</f>
        <v>119</v>
      </c>
      <c r="L447" s="9">
        <f t="array" ref="L447">QUARTILE(IF($F$3:$F$1460=$F447,$H$3:$H$1460),2)</f>
        <v>181.5</v>
      </c>
      <c r="M447" s="9">
        <f t="array" ref="M447">QUARTILE(IF($F$3:$F$1460=$F447,$H$3:$H$1460),3)</f>
        <v>272</v>
      </c>
    </row>
    <row r="448" spans="1:13" x14ac:dyDescent="0.25">
      <c r="A448" s="7">
        <v>446</v>
      </c>
      <c r="B448" s="6" t="s">
        <v>97</v>
      </c>
      <c r="C448" s="7">
        <v>5359822</v>
      </c>
      <c r="D448" s="23" t="s">
        <v>318</v>
      </c>
      <c r="E448" s="6" t="s">
        <v>319</v>
      </c>
      <c r="F448" s="21" t="s">
        <v>42</v>
      </c>
      <c r="G448" s="6" t="s">
        <v>382</v>
      </c>
      <c r="H448" s="22">
        <v>374.05</v>
      </c>
      <c r="I448" s="9">
        <v>10</v>
      </c>
      <c r="J448" s="22">
        <f t="shared" si="5"/>
        <v>3740.5</v>
      </c>
      <c r="K448" s="9">
        <f t="array" ref="K448">QUARTILE(IF($F$3:$F$1460=$F448,$H$3:$H$1460),1)</f>
        <v>119</v>
      </c>
      <c r="L448" s="9">
        <f t="array" ref="L448">QUARTILE(IF($F$3:$F$1460=$F448,$H$3:$H$1460),2)</f>
        <v>181.5</v>
      </c>
      <c r="M448" s="9">
        <f t="array" ref="M448">QUARTILE(IF($F$3:$F$1460=$F448,$H$3:$H$1460),3)</f>
        <v>272</v>
      </c>
    </row>
    <row r="449" spans="1:13" x14ac:dyDescent="0.25">
      <c r="A449" s="7">
        <v>447</v>
      </c>
      <c r="B449" s="6" t="s">
        <v>97</v>
      </c>
      <c r="C449" s="7">
        <v>5359822</v>
      </c>
      <c r="D449" s="23" t="s">
        <v>318</v>
      </c>
      <c r="E449" s="6" t="s">
        <v>319</v>
      </c>
      <c r="F449" s="21" t="s">
        <v>42</v>
      </c>
      <c r="G449" s="6" t="s">
        <v>383</v>
      </c>
      <c r="H449" s="22">
        <v>395.5</v>
      </c>
      <c r="I449" s="9">
        <v>10</v>
      </c>
      <c r="J449" s="22">
        <f t="shared" si="5"/>
        <v>3955</v>
      </c>
      <c r="K449" s="9">
        <f t="array" ref="K449">QUARTILE(IF($F$3:$F$1460=$F449,$H$3:$H$1460),1)</f>
        <v>119</v>
      </c>
      <c r="L449" s="9">
        <f t="array" ref="L449">QUARTILE(IF($F$3:$F$1460=$F449,$H$3:$H$1460),2)</f>
        <v>181.5</v>
      </c>
      <c r="M449" s="9">
        <f t="array" ref="M449">QUARTILE(IF($F$3:$F$1460=$F449,$H$3:$H$1460),3)</f>
        <v>272</v>
      </c>
    </row>
    <row r="450" spans="1:13" x14ac:dyDescent="0.25">
      <c r="A450" s="7">
        <v>448</v>
      </c>
      <c r="B450" s="6" t="s">
        <v>97</v>
      </c>
      <c r="C450" s="7">
        <v>5359822</v>
      </c>
      <c r="D450" s="23" t="s">
        <v>318</v>
      </c>
      <c r="E450" s="6" t="s">
        <v>319</v>
      </c>
      <c r="F450" s="21" t="s">
        <v>42</v>
      </c>
      <c r="G450" s="6" t="s">
        <v>384</v>
      </c>
      <c r="H450" s="22">
        <v>99</v>
      </c>
      <c r="I450" s="9">
        <v>3</v>
      </c>
      <c r="J450" s="22">
        <f t="shared" si="5"/>
        <v>297</v>
      </c>
      <c r="K450" s="9">
        <f t="array" ref="K450">QUARTILE(IF($F$3:$F$1460=$F450,$H$3:$H$1460),1)</f>
        <v>119</v>
      </c>
      <c r="L450" s="9">
        <f t="array" ref="L450">QUARTILE(IF($F$3:$F$1460=$F450,$H$3:$H$1460),2)</f>
        <v>181.5</v>
      </c>
      <c r="M450" s="9">
        <f t="array" ref="M450">QUARTILE(IF($F$3:$F$1460=$F450,$H$3:$H$1460),3)</f>
        <v>272</v>
      </c>
    </row>
    <row r="451" spans="1:13" x14ac:dyDescent="0.25">
      <c r="A451" s="7">
        <v>449</v>
      </c>
      <c r="B451" s="6" t="s">
        <v>97</v>
      </c>
      <c r="C451" s="7">
        <v>5359822</v>
      </c>
      <c r="D451" s="23" t="s">
        <v>318</v>
      </c>
      <c r="E451" s="6" t="s">
        <v>319</v>
      </c>
      <c r="F451" s="21" t="s">
        <v>42</v>
      </c>
      <c r="G451" s="6" t="s">
        <v>385</v>
      </c>
      <c r="H451" s="22">
        <v>178</v>
      </c>
      <c r="I451" s="9">
        <v>3</v>
      </c>
      <c r="J451" s="22">
        <f t="shared" si="5"/>
        <v>534</v>
      </c>
      <c r="K451" s="9">
        <f t="array" ref="K451">QUARTILE(IF($F$3:$F$1460=$F451,$H$3:$H$1460),1)</f>
        <v>119</v>
      </c>
      <c r="L451" s="9">
        <f t="array" ref="L451">QUARTILE(IF($F$3:$F$1460=$F451,$H$3:$H$1460),2)</f>
        <v>181.5</v>
      </c>
      <c r="M451" s="9">
        <f t="array" ref="M451">QUARTILE(IF($F$3:$F$1460=$F451,$H$3:$H$1460),3)</f>
        <v>272</v>
      </c>
    </row>
    <row r="452" spans="1:13" x14ac:dyDescent="0.25">
      <c r="A452" s="7">
        <v>450</v>
      </c>
      <c r="B452" s="6" t="s">
        <v>97</v>
      </c>
      <c r="C452" s="7">
        <v>5359822</v>
      </c>
      <c r="D452" s="23" t="s">
        <v>318</v>
      </c>
      <c r="E452" s="6" t="s">
        <v>319</v>
      </c>
      <c r="F452" s="21" t="s">
        <v>42</v>
      </c>
      <c r="G452" s="6" t="s">
        <v>386</v>
      </c>
      <c r="H452" s="22">
        <v>209</v>
      </c>
      <c r="I452" s="9">
        <v>3</v>
      </c>
      <c r="J452" s="22">
        <f t="shared" si="5"/>
        <v>627</v>
      </c>
      <c r="K452" s="9">
        <f t="array" ref="K452">QUARTILE(IF($F$3:$F$1460=$F452,$H$3:$H$1460),1)</f>
        <v>119</v>
      </c>
      <c r="L452" s="9">
        <f t="array" ref="L452">QUARTILE(IF($F$3:$F$1460=$F452,$H$3:$H$1460),2)</f>
        <v>181.5</v>
      </c>
      <c r="M452" s="9">
        <f t="array" ref="M452">QUARTILE(IF($F$3:$F$1460=$F452,$H$3:$H$1460),3)</f>
        <v>272</v>
      </c>
    </row>
    <row r="453" spans="1:13" x14ac:dyDescent="0.25">
      <c r="A453" s="7">
        <v>451</v>
      </c>
      <c r="B453" s="6" t="s">
        <v>97</v>
      </c>
      <c r="C453" s="7">
        <v>5359822</v>
      </c>
      <c r="D453" s="23" t="s">
        <v>318</v>
      </c>
      <c r="E453" s="6" t="s">
        <v>319</v>
      </c>
      <c r="F453" s="21" t="s">
        <v>42</v>
      </c>
      <c r="G453" s="6" t="s">
        <v>387</v>
      </c>
      <c r="H453" s="22">
        <v>210</v>
      </c>
      <c r="I453" s="9">
        <v>3</v>
      </c>
      <c r="J453" s="22">
        <f t="shared" si="5"/>
        <v>630</v>
      </c>
      <c r="K453" s="9">
        <f t="array" ref="K453">QUARTILE(IF($F$3:$F$1460=$F453,$H$3:$H$1460),1)</f>
        <v>119</v>
      </c>
      <c r="L453" s="9">
        <f t="array" ref="L453">QUARTILE(IF($F$3:$F$1460=$F453,$H$3:$H$1460),2)</f>
        <v>181.5</v>
      </c>
      <c r="M453" s="9">
        <f t="array" ref="M453">QUARTILE(IF($F$3:$F$1460=$F453,$H$3:$H$1460),3)</f>
        <v>272</v>
      </c>
    </row>
    <row r="454" spans="1:13" x14ac:dyDescent="0.25">
      <c r="A454" s="7">
        <v>452</v>
      </c>
      <c r="B454" s="6" t="s">
        <v>97</v>
      </c>
      <c r="C454" s="7">
        <v>5359822</v>
      </c>
      <c r="D454" s="23" t="s">
        <v>318</v>
      </c>
      <c r="E454" s="6" t="s">
        <v>319</v>
      </c>
      <c r="F454" s="21" t="s">
        <v>42</v>
      </c>
      <c r="G454" s="6" t="s">
        <v>388</v>
      </c>
      <c r="H454" s="22">
        <v>269</v>
      </c>
      <c r="I454" s="9">
        <v>3</v>
      </c>
      <c r="J454" s="22">
        <f t="shared" si="5"/>
        <v>807</v>
      </c>
      <c r="K454" s="9">
        <f t="array" ref="K454">QUARTILE(IF($F$3:$F$1460=$F454,$H$3:$H$1460),1)</f>
        <v>119</v>
      </c>
      <c r="L454" s="9">
        <f t="array" ref="L454">QUARTILE(IF($F$3:$F$1460=$F454,$H$3:$H$1460),2)</f>
        <v>181.5</v>
      </c>
      <c r="M454" s="9">
        <f t="array" ref="M454">QUARTILE(IF($F$3:$F$1460=$F454,$H$3:$H$1460),3)</f>
        <v>272</v>
      </c>
    </row>
    <row r="455" spans="1:13" x14ac:dyDescent="0.25">
      <c r="A455" s="7">
        <v>453</v>
      </c>
      <c r="B455" s="6" t="s">
        <v>97</v>
      </c>
      <c r="C455" s="7">
        <v>5359822</v>
      </c>
      <c r="D455" s="23" t="s">
        <v>318</v>
      </c>
      <c r="E455" s="6" t="s">
        <v>319</v>
      </c>
      <c r="F455" s="21" t="s">
        <v>42</v>
      </c>
      <c r="G455" s="6" t="s">
        <v>389</v>
      </c>
      <c r="H455" s="22">
        <v>275</v>
      </c>
      <c r="I455" s="9">
        <v>3</v>
      </c>
      <c r="J455" s="22">
        <f t="shared" si="5"/>
        <v>825</v>
      </c>
      <c r="K455" s="9">
        <f t="array" ref="K455">QUARTILE(IF($F$3:$F$1460=$F455,$H$3:$H$1460),1)</f>
        <v>119</v>
      </c>
      <c r="L455" s="9">
        <f t="array" ref="L455">QUARTILE(IF($F$3:$F$1460=$F455,$H$3:$H$1460),2)</f>
        <v>181.5</v>
      </c>
      <c r="M455" s="9">
        <f t="array" ref="M455">QUARTILE(IF($F$3:$F$1460=$F455,$H$3:$H$1460),3)</f>
        <v>272</v>
      </c>
    </row>
    <row r="456" spans="1:13" x14ac:dyDescent="0.25">
      <c r="A456" s="7">
        <v>454</v>
      </c>
      <c r="B456" s="6" t="s">
        <v>97</v>
      </c>
      <c r="C456" s="7">
        <v>5359822</v>
      </c>
      <c r="D456" s="23" t="s">
        <v>318</v>
      </c>
      <c r="E456" s="6" t="s">
        <v>319</v>
      </c>
      <c r="F456" s="21" t="s">
        <v>42</v>
      </c>
      <c r="G456" s="6" t="s">
        <v>390</v>
      </c>
      <c r="H456" s="22">
        <v>412</v>
      </c>
      <c r="I456" s="9">
        <v>3</v>
      </c>
      <c r="J456" s="22">
        <f t="shared" si="5"/>
        <v>1236</v>
      </c>
      <c r="K456" s="9">
        <f t="array" ref="K456">QUARTILE(IF($F$3:$F$1460=$F456,$H$3:$H$1460),1)</f>
        <v>119</v>
      </c>
      <c r="L456" s="9">
        <f t="array" ref="L456">QUARTILE(IF($F$3:$F$1460=$F456,$H$3:$H$1460),2)</f>
        <v>181.5</v>
      </c>
      <c r="M456" s="9">
        <f t="array" ref="M456">QUARTILE(IF($F$3:$F$1460=$F456,$H$3:$H$1460),3)</f>
        <v>272</v>
      </c>
    </row>
    <row r="457" spans="1:13" x14ac:dyDescent="0.25">
      <c r="A457" s="7">
        <v>455</v>
      </c>
      <c r="B457" s="6" t="s">
        <v>97</v>
      </c>
      <c r="C457" s="7">
        <v>5359822</v>
      </c>
      <c r="D457" s="23" t="s">
        <v>318</v>
      </c>
      <c r="E457" s="6" t="s">
        <v>319</v>
      </c>
      <c r="F457" s="21" t="s">
        <v>42</v>
      </c>
      <c r="G457" s="6" t="s">
        <v>391</v>
      </c>
      <c r="H457" s="22">
        <v>595</v>
      </c>
      <c r="I457" s="9">
        <v>3</v>
      </c>
      <c r="J457" s="22">
        <f t="shared" si="5"/>
        <v>1785</v>
      </c>
      <c r="K457" s="9">
        <f t="array" ref="K457">QUARTILE(IF($F$3:$F$1460=$F457,$H$3:$H$1460),1)</f>
        <v>119</v>
      </c>
      <c r="L457" s="9">
        <f t="array" ref="L457">QUARTILE(IF($F$3:$F$1460=$F457,$H$3:$H$1460),2)</f>
        <v>181.5</v>
      </c>
      <c r="M457" s="9">
        <f t="array" ref="M457">QUARTILE(IF($F$3:$F$1460=$F457,$H$3:$H$1460),3)</f>
        <v>272</v>
      </c>
    </row>
    <row r="458" spans="1:13" x14ac:dyDescent="0.25">
      <c r="A458" s="7">
        <v>456</v>
      </c>
      <c r="B458" s="6" t="s">
        <v>97</v>
      </c>
      <c r="C458" s="7">
        <v>5359822</v>
      </c>
      <c r="D458" s="23" t="s">
        <v>318</v>
      </c>
      <c r="E458" s="6" t="s">
        <v>319</v>
      </c>
      <c r="F458" s="21" t="s">
        <v>22</v>
      </c>
      <c r="G458" s="6" t="s">
        <v>392</v>
      </c>
      <c r="H458" s="22">
        <v>25.2</v>
      </c>
      <c r="I458" s="9">
        <v>10</v>
      </c>
      <c r="J458" s="22">
        <f t="shared" si="5"/>
        <v>252</v>
      </c>
      <c r="K458" s="9">
        <f t="array" ref="K458">QUARTILE(IF($F$3:$F$1460=$F458,$H$3:$H$1460),1)</f>
        <v>25.274999999999999</v>
      </c>
      <c r="L458" s="9">
        <f t="array" ref="L458">QUARTILE(IF($F$3:$F$1460=$F458,$H$3:$H$1460),2)</f>
        <v>25.35</v>
      </c>
      <c r="M458" s="9">
        <f t="array" ref="M458">QUARTILE(IF($F$3:$F$1460=$F458,$H$3:$H$1460),3)</f>
        <v>25.425000000000001</v>
      </c>
    </row>
    <row r="459" spans="1:13" x14ac:dyDescent="0.25">
      <c r="A459" s="7">
        <v>457</v>
      </c>
      <c r="B459" s="6" t="s">
        <v>97</v>
      </c>
      <c r="C459" s="7">
        <v>5359822</v>
      </c>
      <c r="D459" s="23" t="s">
        <v>318</v>
      </c>
      <c r="E459" s="6" t="s">
        <v>319</v>
      </c>
      <c r="F459" s="21" t="s">
        <v>22</v>
      </c>
      <c r="G459" s="6" t="s">
        <v>393</v>
      </c>
      <c r="H459" s="22">
        <v>25.5</v>
      </c>
      <c r="I459" s="9">
        <v>2</v>
      </c>
      <c r="J459" s="22">
        <f t="shared" si="5"/>
        <v>51</v>
      </c>
      <c r="K459" s="9">
        <f t="array" ref="K459">QUARTILE(IF($F$3:$F$1460=$F459,$H$3:$H$1460),1)</f>
        <v>25.274999999999999</v>
      </c>
      <c r="L459" s="9">
        <f t="array" ref="L459">QUARTILE(IF($F$3:$F$1460=$F459,$H$3:$H$1460),2)</f>
        <v>25.35</v>
      </c>
      <c r="M459" s="9">
        <f t="array" ref="M459">QUARTILE(IF($F$3:$F$1460=$F459,$H$3:$H$1460),3)</f>
        <v>25.425000000000001</v>
      </c>
    </row>
    <row r="460" spans="1:13" x14ac:dyDescent="0.25">
      <c r="A460" s="7">
        <v>460</v>
      </c>
      <c r="B460" s="6" t="s">
        <v>97</v>
      </c>
      <c r="C460" s="7">
        <v>5359822</v>
      </c>
      <c r="D460" s="23" t="s">
        <v>318</v>
      </c>
      <c r="E460" s="6" t="s">
        <v>319</v>
      </c>
      <c r="F460" s="21" t="s">
        <v>30</v>
      </c>
      <c r="G460" s="6" t="s">
        <v>394</v>
      </c>
      <c r="H460" s="22">
        <v>33</v>
      </c>
      <c r="I460" s="9">
        <v>1</v>
      </c>
      <c r="J460" s="22">
        <f t="shared" si="5"/>
        <v>33</v>
      </c>
      <c r="K460" s="9">
        <f t="array" ref="K460">QUARTILE(IF($F$3:$F$1460=$F460,$H$3:$H$1460),1)</f>
        <v>47.47</v>
      </c>
      <c r="L460" s="9">
        <f t="array" ref="L460">QUARTILE(IF($F$3:$F$1460=$F460,$H$3:$H$1460),2)</f>
        <v>86.69</v>
      </c>
      <c r="M460" s="9">
        <f t="array" ref="M460">QUARTILE(IF($F$3:$F$1460=$F460,$H$3:$H$1460),3)</f>
        <v>146.42500000000001</v>
      </c>
    </row>
    <row r="461" spans="1:13" x14ac:dyDescent="0.25">
      <c r="A461" s="7">
        <v>461</v>
      </c>
      <c r="B461" s="6" t="s">
        <v>97</v>
      </c>
      <c r="C461" s="7">
        <v>5359822</v>
      </c>
      <c r="D461" s="23" t="s">
        <v>318</v>
      </c>
      <c r="E461" s="6" t="s">
        <v>319</v>
      </c>
      <c r="F461" s="21" t="s">
        <v>30</v>
      </c>
      <c r="G461" s="6" t="s">
        <v>395</v>
      </c>
      <c r="H461" s="22">
        <v>35</v>
      </c>
      <c r="I461" s="9">
        <v>1</v>
      </c>
      <c r="J461" s="22">
        <f t="shared" si="5"/>
        <v>35</v>
      </c>
      <c r="K461" s="9">
        <f t="array" ref="K461">QUARTILE(IF($F$3:$F$1460=$F461,$H$3:$H$1460),1)</f>
        <v>47.47</v>
      </c>
      <c r="L461" s="9">
        <f t="array" ref="L461">QUARTILE(IF($F$3:$F$1460=$F461,$H$3:$H$1460),2)</f>
        <v>86.69</v>
      </c>
      <c r="M461" s="9">
        <f t="array" ref="M461">QUARTILE(IF($F$3:$F$1460=$F461,$H$3:$H$1460),3)</f>
        <v>146.42500000000001</v>
      </c>
    </row>
    <row r="462" spans="1:13" x14ac:dyDescent="0.25">
      <c r="A462" s="7">
        <v>462</v>
      </c>
      <c r="B462" s="6" t="s">
        <v>97</v>
      </c>
      <c r="C462" s="7">
        <v>5359822</v>
      </c>
      <c r="D462" s="23" t="s">
        <v>318</v>
      </c>
      <c r="E462" s="6" t="s">
        <v>319</v>
      </c>
      <c r="F462" s="21" t="s">
        <v>30</v>
      </c>
      <c r="G462" s="6" t="s">
        <v>396</v>
      </c>
      <c r="H462" s="22">
        <v>62</v>
      </c>
      <c r="I462" s="9">
        <v>1</v>
      </c>
      <c r="J462" s="22">
        <f t="shared" si="5"/>
        <v>62</v>
      </c>
      <c r="K462" s="9">
        <f t="array" ref="K462">QUARTILE(IF($F$3:$F$1460=$F462,$H$3:$H$1460),1)</f>
        <v>47.47</v>
      </c>
      <c r="L462" s="9">
        <f t="array" ref="L462">QUARTILE(IF($F$3:$F$1460=$F462,$H$3:$H$1460),2)</f>
        <v>86.69</v>
      </c>
      <c r="M462" s="9">
        <f t="array" ref="M462">QUARTILE(IF($F$3:$F$1460=$F462,$H$3:$H$1460),3)</f>
        <v>146.42500000000001</v>
      </c>
    </row>
    <row r="463" spans="1:13" x14ac:dyDescent="0.25">
      <c r="A463" s="7">
        <v>463</v>
      </c>
      <c r="B463" s="6" t="s">
        <v>97</v>
      </c>
      <c r="C463" s="7">
        <v>5359822</v>
      </c>
      <c r="D463" s="23" t="s">
        <v>318</v>
      </c>
      <c r="E463" s="6" t="s">
        <v>319</v>
      </c>
      <c r="F463" s="21" t="s">
        <v>30</v>
      </c>
      <c r="G463" s="6" t="s">
        <v>397</v>
      </c>
      <c r="H463" s="22">
        <v>150</v>
      </c>
      <c r="I463" s="9">
        <v>1</v>
      </c>
      <c r="J463" s="22">
        <f t="shared" si="5"/>
        <v>150</v>
      </c>
      <c r="K463" s="9">
        <f t="array" ref="K463">QUARTILE(IF($F$3:$F$1460=$F463,$H$3:$H$1460),1)</f>
        <v>47.47</v>
      </c>
      <c r="L463" s="9">
        <f t="array" ref="L463">QUARTILE(IF($F$3:$F$1460=$F463,$H$3:$H$1460),2)</f>
        <v>86.69</v>
      </c>
      <c r="M463" s="9">
        <f t="array" ref="M463">QUARTILE(IF($F$3:$F$1460=$F463,$H$3:$H$1460),3)</f>
        <v>146.42500000000001</v>
      </c>
    </row>
    <row r="464" spans="1:13" x14ac:dyDescent="0.25">
      <c r="A464" s="7">
        <v>464</v>
      </c>
      <c r="B464" s="6" t="s">
        <v>97</v>
      </c>
      <c r="C464" s="7">
        <v>5359822</v>
      </c>
      <c r="D464" s="23" t="s">
        <v>318</v>
      </c>
      <c r="E464" s="6" t="s">
        <v>319</v>
      </c>
      <c r="F464" s="21" t="s">
        <v>30</v>
      </c>
      <c r="G464" s="6" t="s">
        <v>398</v>
      </c>
      <c r="H464" s="22">
        <v>105</v>
      </c>
      <c r="I464" s="9">
        <v>1</v>
      </c>
      <c r="J464" s="22">
        <f t="shared" si="5"/>
        <v>105</v>
      </c>
      <c r="K464" s="9">
        <f t="array" ref="K464">QUARTILE(IF($F$3:$F$1460=$F464,$H$3:$H$1460),1)</f>
        <v>47.47</v>
      </c>
      <c r="L464" s="9">
        <f t="array" ref="L464">QUARTILE(IF($F$3:$F$1460=$F464,$H$3:$H$1460),2)</f>
        <v>86.69</v>
      </c>
      <c r="M464" s="9">
        <f t="array" ref="M464">QUARTILE(IF($F$3:$F$1460=$F464,$H$3:$H$1460),3)</f>
        <v>146.42500000000001</v>
      </c>
    </row>
    <row r="465" spans="1:13" x14ac:dyDescent="0.25">
      <c r="A465" s="7">
        <v>465</v>
      </c>
      <c r="B465" s="6" t="s">
        <v>97</v>
      </c>
      <c r="C465" s="7">
        <v>5359822</v>
      </c>
      <c r="D465" s="23" t="s">
        <v>318</v>
      </c>
      <c r="E465" s="6" t="s">
        <v>319</v>
      </c>
      <c r="F465" s="21" t="s">
        <v>30</v>
      </c>
      <c r="G465" s="6" t="s">
        <v>399</v>
      </c>
      <c r="H465" s="22">
        <v>58</v>
      </c>
      <c r="I465" s="9">
        <v>1</v>
      </c>
      <c r="J465" s="22">
        <f t="shared" si="5"/>
        <v>58</v>
      </c>
      <c r="K465" s="9">
        <f t="array" ref="K465">QUARTILE(IF($F$3:$F$1460=$F465,$H$3:$H$1460),1)</f>
        <v>47.47</v>
      </c>
      <c r="L465" s="9">
        <f t="array" ref="L465">QUARTILE(IF($F$3:$F$1460=$F465,$H$3:$H$1460),2)</f>
        <v>86.69</v>
      </c>
      <c r="M465" s="9">
        <f t="array" ref="M465">QUARTILE(IF($F$3:$F$1460=$F465,$H$3:$H$1460),3)</f>
        <v>146.42500000000001</v>
      </c>
    </row>
    <row r="466" spans="1:13" x14ac:dyDescent="0.25">
      <c r="A466" s="7">
        <v>466</v>
      </c>
      <c r="B466" s="6" t="s">
        <v>97</v>
      </c>
      <c r="C466" s="7">
        <v>5359822</v>
      </c>
      <c r="D466" s="23" t="s">
        <v>318</v>
      </c>
      <c r="E466" s="6" t="s">
        <v>319</v>
      </c>
      <c r="F466" s="21" t="s">
        <v>11</v>
      </c>
      <c r="G466" s="6" t="s">
        <v>400</v>
      </c>
      <c r="H466" s="22">
        <v>10</v>
      </c>
      <c r="I466" s="9">
        <v>1</v>
      </c>
      <c r="J466" s="22">
        <f t="shared" si="5"/>
        <v>10</v>
      </c>
      <c r="K466" s="9">
        <f t="array" ref="K466">QUARTILE(IF($F$3:$F$1460=$F466,$H$3:$H$1460),1)</f>
        <v>9.8249999999999993</v>
      </c>
      <c r="L466" s="9">
        <f t="array" ref="L466">QUARTILE(IF($F$3:$F$1460=$F466,$H$3:$H$1460),2)</f>
        <v>21.14</v>
      </c>
      <c r="M466" s="9">
        <f t="array" ref="M466">QUARTILE(IF($F$3:$F$1460=$F466,$H$3:$H$1460),3)</f>
        <v>248.75</v>
      </c>
    </row>
    <row r="467" spans="1:13" x14ac:dyDescent="0.25">
      <c r="A467" s="7">
        <v>467</v>
      </c>
      <c r="B467" s="6" t="s">
        <v>97</v>
      </c>
      <c r="C467" s="7">
        <v>5359822</v>
      </c>
      <c r="D467" s="23" t="s">
        <v>318</v>
      </c>
      <c r="E467" s="6" t="s">
        <v>319</v>
      </c>
      <c r="F467" s="21" t="s">
        <v>11</v>
      </c>
      <c r="G467" s="6" t="s">
        <v>401</v>
      </c>
      <c r="H467" s="22">
        <v>28</v>
      </c>
      <c r="I467" s="9">
        <v>1</v>
      </c>
      <c r="J467" s="22">
        <f t="shared" si="5"/>
        <v>28</v>
      </c>
      <c r="K467" s="9">
        <f t="array" ref="K467">QUARTILE(IF($F$3:$F$1460=$F467,$H$3:$H$1460),1)</f>
        <v>9.8249999999999993</v>
      </c>
      <c r="L467" s="9">
        <f t="array" ref="L467">QUARTILE(IF($F$3:$F$1460=$F467,$H$3:$H$1460),2)</f>
        <v>21.14</v>
      </c>
      <c r="M467" s="9">
        <f t="array" ref="M467">QUARTILE(IF($F$3:$F$1460=$F467,$H$3:$H$1460),3)</f>
        <v>248.75</v>
      </c>
    </row>
    <row r="468" spans="1:13" x14ac:dyDescent="0.25">
      <c r="A468" s="7">
        <v>468</v>
      </c>
      <c r="B468" s="6" t="s">
        <v>97</v>
      </c>
      <c r="C468" s="7">
        <v>5359822</v>
      </c>
      <c r="D468" s="23" t="s">
        <v>318</v>
      </c>
      <c r="E468" s="6" t="s">
        <v>319</v>
      </c>
      <c r="F468" s="21" t="s">
        <v>11</v>
      </c>
      <c r="G468" s="6" t="s">
        <v>402</v>
      </c>
      <c r="H468" s="22">
        <v>13</v>
      </c>
      <c r="I468" s="9">
        <v>1</v>
      </c>
      <c r="J468" s="22">
        <f t="shared" si="5"/>
        <v>13</v>
      </c>
      <c r="K468" s="9">
        <f t="array" ref="K468">QUARTILE(IF($F$3:$F$1460=$F468,$H$3:$H$1460),1)</f>
        <v>9.8249999999999993</v>
      </c>
      <c r="L468" s="9">
        <f t="array" ref="L468">QUARTILE(IF($F$3:$F$1460=$F468,$H$3:$H$1460),2)</f>
        <v>21.14</v>
      </c>
      <c r="M468" s="9">
        <f t="array" ref="M468">QUARTILE(IF($F$3:$F$1460=$F468,$H$3:$H$1460),3)</f>
        <v>248.75</v>
      </c>
    </row>
    <row r="469" spans="1:13" x14ac:dyDescent="0.25">
      <c r="A469" s="7">
        <v>469</v>
      </c>
      <c r="B469" s="6" t="s">
        <v>97</v>
      </c>
      <c r="C469" s="7">
        <v>5359822</v>
      </c>
      <c r="D469" s="23" t="s">
        <v>318</v>
      </c>
      <c r="E469" s="6" t="s">
        <v>319</v>
      </c>
      <c r="F469" s="21" t="s">
        <v>11</v>
      </c>
      <c r="G469" s="6" t="s">
        <v>403</v>
      </c>
      <c r="H469" s="22">
        <v>10</v>
      </c>
      <c r="I469" s="9">
        <v>1</v>
      </c>
      <c r="J469" s="22">
        <f t="shared" si="5"/>
        <v>10</v>
      </c>
      <c r="K469" s="9">
        <f t="array" ref="K469">QUARTILE(IF($F$3:$F$1460=$F469,$H$3:$H$1460),1)</f>
        <v>9.8249999999999993</v>
      </c>
      <c r="L469" s="9">
        <f t="array" ref="L469">QUARTILE(IF($F$3:$F$1460=$F469,$H$3:$H$1460),2)</f>
        <v>21.14</v>
      </c>
      <c r="M469" s="9">
        <f t="array" ref="M469">QUARTILE(IF($F$3:$F$1460=$F469,$H$3:$H$1460),3)</f>
        <v>248.75</v>
      </c>
    </row>
    <row r="470" spans="1:13" x14ac:dyDescent="0.25">
      <c r="A470" s="7">
        <v>470</v>
      </c>
      <c r="B470" s="6" t="s">
        <v>97</v>
      </c>
      <c r="C470" s="7">
        <v>5359822</v>
      </c>
      <c r="D470" s="23" t="s">
        <v>318</v>
      </c>
      <c r="E470" s="6" t="s">
        <v>319</v>
      </c>
      <c r="F470" s="21" t="s">
        <v>11</v>
      </c>
      <c r="G470" s="6" t="s">
        <v>404</v>
      </c>
      <c r="H470" s="22">
        <v>240</v>
      </c>
      <c r="I470" s="9">
        <v>1</v>
      </c>
      <c r="J470" s="22">
        <f t="shared" si="5"/>
        <v>240</v>
      </c>
      <c r="K470" s="9">
        <f t="array" ref="K470">QUARTILE(IF($F$3:$F$1460=$F470,$H$3:$H$1460),1)</f>
        <v>9.8249999999999993</v>
      </c>
      <c r="L470" s="9">
        <f t="array" ref="L470">QUARTILE(IF($F$3:$F$1460=$F470,$H$3:$H$1460),2)</f>
        <v>21.14</v>
      </c>
      <c r="M470" s="9">
        <f t="array" ref="M470">QUARTILE(IF($F$3:$F$1460=$F470,$H$3:$H$1460),3)</f>
        <v>248.75</v>
      </c>
    </row>
    <row r="471" spans="1:13" x14ac:dyDescent="0.25">
      <c r="A471" s="7">
        <v>471</v>
      </c>
      <c r="B471" s="6" t="s">
        <v>97</v>
      </c>
      <c r="C471" s="7">
        <v>5359822</v>
      </c>
      <c r="D471" s="23" t="s">
        <v>318</v>
      </c>
      <c r="E471" s="6" t="s">
        <v>319</v>
      </c>
      <c r="F471" s="21" t="s">
        <v>11</v>
      </c>
      <c r="G471" s="6" t="s">
        <v>405</v>
      </c>
      <c r="H471" s="22">
        <v>275</v>
      </c>
      <c r="I471" s="9">
        <v>2</v>
      </c>
      <c r="J471" s="22">
        <f t="shared" si="5"/>
        <v>550</v>
      </c>
      <c r="K471" s="9">
        <f t="array" ref="K471">QUARTILE(IF($F$3:$F$1460=$F471,$H$3:$H$1460),1)</f>
        <v>9.8249999999999993</v>
      </c>
      <c r="L471" s="9">
        <f t="array" ref="L471">QUARTILE(IF($F$3:$F$1460=$F471,$H$3:$H$1460),2)</f>
        <v>21.14</v>
      </c>
      <c r="M471" s="9">
        <f t="array" ref="M471">QUARTILE(IF($F$3:$F$1460=$F471,$H$3:$H$1460),3)</f>
        <v>248.75</v>
      </c>
    </row>
    <row r="472" spans="1:13" x14ac:dyDescent="0.25">
      <c r="A472" s="7">
        <v>472</v>
      </c>
      <c r="B472" s="6" t="s">
        <v>97</v>
      </c>
      <c r="C472" s="7">
        <v>5359822</v>
      </c>
      <c r="D472" s="23" t="s">
        <v>318</v>
      </c>
      <c r="E472" s="6" t="s">
        <v>319</v>
      </c>
      <c r="F472" s="21" t="s">
        <v>11</v>
      </c>
      <c r="G472" s="6" t="s">
        <v>406</v>
      </c>
      <c r="H472" s="22">
        <v>9</v>
      </c>
      <c r="I472" s="9">
        <v>1</v>
      </c>
      <c r="J472" s="22">
        <f t="shared" si="5"/>
        <v>9</v>
      </c>
      <c r="K472" s="9">
        <f t="array" ref="K472">QUARTILE(IF($F$3:$F$1460=$F472,$H$3:$H$1460),1)</f>
        <v>9.8249999999999993</v>
      </c>
      <c r="L472" s="9">
        <f t="array" ref="L472">QUARTILE(IF($F$3:$F$1460=$F472,$H$3:$H$1460),2)</f>
        <v>21.14</v>
      </c>
      <c r="M472" s="9">
        <f t="array" ref="M472">QUARTILE(IF($F$3:$F$1460=$F472,$H$3:$H$1460),3)</f>
        <v>248.75</v>
      </c>
    </row>
    <row r="473" spans="1:13" x14ac:dyDescent="0.25">
      <c r="A473" s="7">
        <v>473</v>
      </c>
      <c r="B473" s="6" t="s">
        <v>97</v>
      </c>
      <c r="C473" s="7">
        <v>5359822</v>
      </c>
      <c r="D473" s="23" t="s">
        <v>318</v>
      </c>
      <c r="E473" s="6" t="s">
        <v>319</v>
      </c>
      <c r="F473" s="21" t="s">
        <v>24</v>
      </c>
      <c r="G473" s="6" t="s">
        <v>407</v>
      </c>
      <c r="H473" s="22">
        <v>44</v>
      </c>
      <c r="I473" s="9">
        <v>1</v>
      </c>
      <c r="J473" s="22">
        <f t="shared" si="5"/>
        <v>44</v>
      </c>
      <c r="K473" s="9">
        <f t="array" ref="K473">QUARTILE(IF($F$3:$F$1460=$F473,$H$3:$H$1460),1)</f>
        <v>30.125</v>
      </c>
      <c r="L473" s="9">
        <f t="array" ref="L473">QUARTILE(IF($F$3:$F$1460=$F473,$H$3:$H$1460),2)</f>
        <v>34.75</v>
      </c>
      <c r="M473" s="9">
        <f t="array" ref="M473">QUARTILE(IF($F$3:$F$1460=$F473,$H$3:$H$1460),3)</f>
        <v>39.375</v>
      </c>
    </row>
    <row r="474" spans="1:13" x14ac:dyDescent="0.25">
      <c r="A474" s="7">
        <v>474</v>
      </c>
      <c r="B474" s="6" t="s">
        <v>97</v>
      </c>
      <c r="C474" s="7">
        <v>5359822</v>
      </c>
      <c r="D474" s="23" t="s">
        <v>318</v>
      </c>
      <c r="E474" s="6" t="s">
        <v>319</v>
      </c>
      <c r="F474" s="21" t="s">
        <v>24</v>
      </c>
      <c r="G474" s="6" t="s">
        <v>408</v>
      </c>
      <c r="H474" s="22">
        <v>25.5</v>
      </c>
      <c r="I474" s="9">
        <v>1</v>
      </c>
      <c r="J474" s="22">
        <f t="shared" si="5"/>
        <v>25.5</v>
      </c>
      <c r="K474" s="9">
        <f t="array" ref="K474">QUARTILE(IF($F$3:$F$1460=$F474,$H$3:$H$1460),1)</f>
        <v>30.125</v>
      </c>
      <c r="L474" s="9">
        <f t="array" ref="L474">QUARTILE(IF($F$3:$F$1460=$F474,$H$3:$H$1460),2)</f>
        <v>34.75</v>
      </c>
      <c r="M474" s="9">
        <f t="array" ref="M474">QUARTILE(IF($F$3:$F$1460=$F474,$H$3:$H$1460),3)</f>
        <v>39.375</v>
      </c>
    </row>
    <row r="475" spans="1:13" x14ac:dyDescent="0.25">
      <c r="A475" s="7">
        <v>475</v>
      </c>
      <c r="B475" s="6" t="s">
        <v>97</v>
      </c>
      <c r="C475" s="7">
        <v>5359822</v>
      </c>
      <c r="D475" s="23" t="s">
        <v>318</v>
      </c>
      <c r="E475" s="6" t="s">
        <v>319</v>
      </c>
      <c r="F475" s="4" t="s">
        <v>15</v>
      </c>
      <c r="G475" s="6" t="s">
        <v>409</v>
      </c>
      <c r="H475" s="22">
        <v>12</v>
      </c>
      <c r="I475" s="9">
        <v>1</v>
      </c>
      <c r="J475" s="22">
        <f t="shared" si="5"/>
        <v>12</v>
      </c>
      <c r="K475" s="9">
        <f t="array" ref="K475">QUARTILE(IF($F$3:$F$1460=$F475,$H$3:$H$1460),1)</f>
        <v>12</v>
      </c>
      <c r="L475" s="9">
        <f t="array" ref="L475">QUARTILE(IF($F$3:$F$1460=$F475,$H$3:$H$1460),2)</f>
        <v>12</v>
      </c>
      <c r="M475" s="9">
        <f t="array" ref="M475">QUARTILE(IF($F$3:$F$1460=$F475,$H$3:$H$1460),3)</f>
        <v>12</v>
      </c>
    </row>
    <row r="476" spans="1:13" x14ac:dyDescent="0.25">
      <c r="A476" s="7">
        <v>476</v>
      </c>
      <c r="B476" s="6" t="s">
        <v>97</v>
      </c>
      <c r="C476" s="7">
        <v>5359822</v>
      </c>
      <c r="D476" s="23" t="s">
        <v>318</v>
      </c>
      <c r="E476" s="6" t="s">
        <v>319</v>
      </c>
      <c r="F476" s="21" t="s">
        <v>20</v>
      </c>
      <c r="G476" s="6" t="s">
        <v>410</v>
      </c>
      <c r="H476" s="22">
        <v>15.5</v>
      </c>
      <c r="I476" s="9">
        <v>10</v>
      </c>
      <c r="J476" s="22">
        <f t="shared" si="5"/>
        <v>155</v>
      </c>
      <c r="K476" s="9">
        <f t="array" ref="K476">QUARTILE(IF($F$3:$F$1460=$F476,$H$3:$H$1460),1)</f>
        <v>22.082500000000003</v>
      </c>
      <c r="L476" s="9">
        <f t="array" ref="L476">QUARTILE(IF($F$3:$F$1460=$F476,$H$3:$H$1460),2)</f>
        <v>31.15</v>
      </c>
      <c r="M476" s="9">
        <f t="array" ref="M476">QUARTILE(IF($F$3:$F$1460=$F476,$H$3:$H$1460),3)</f>
        <v>48.125</v>
      </c>
    </row>
    <row r="477" spans="1:13" x14ac:dyDescent="0.25">
      <c r="A477" s="7">
        <v>477</v>
      </c>
      <c r="B477" s="6" t="s">
        <v>97</v>
      </c>
      <c r="C477" s="7">
        <v>5359822</v>
      </c>
      <c r="D477" s="23" t="s">
        <v>318</v>
      </c>
      <c r="E477" s="6" t="s">
        <v>319</v>
      </c>
      <c r="F477" s="21" t="s">
        <v>20</v>
      </c>
      <c r="G477" s="6" t="s">
        <v>411</v>
      </c>
      <c r="H477" s="22">
        <v>16.2</v>
      </c>
      <c r="I477" s="9">
        <v>10</v>
      </c>
      <c r="J477" s="22">
        <f t="shared" si="5"/>
        <v>162</v>
      </c>
      <c r="K477" s="9">
        <f t="array" ref="K477">QUARTILE(IF($F$3:$F$1460=$F477,$H$3:$H$1460),1)</f>
        <v>22.082500000000003</v>
      </c>
      <c r="L477" s="9">
        <f t="array" ref="L477">QUARTILE(IF($F$3:$F$1460=$F477,$H$3:$H$1460),2)</f>
        <v>31.15</v>
      </c>
      <c r="M477" s="9">
        <f t="array" ref="M477">QUARTILE(IF($F$3:$F$1460=$F477,$H$3:$H$1460),3)</f>
        <v>48.125</v>
      </c>
    </row>
    <row r="478" spans="1:13" x14ac:dyDescent="0.25">
      <c r="A478" s="7">
        <v>478</v>
      </c>
      <c r="B478" s="6" t="s">
        <v>97</v>
      </c>
      <c r="C478" s="7">
        <v>5359822</v>
      </c>
      <c r="D478" s="23" t="s">
        <v>318</v>
      </c>
      <c r="E478" s="6" t="s">
        <v>319</v>
      </c>
      <c r="F478" s="21" t="s">
        <v>20</v>
      </c>
      <c r="G478" s="6" t="s">
        <v>412</v>
      </c>
      <c r="H478" s="22">
        <v>24</v>
      </c>
      <c r="I478" s="9">
        <v>20</v>
      </c>
      <c r="J478" s="22">
        <f t="shared" si="5"/>
        <v>480</v>
      </c>
      <c r="K478" s="9">
        <f t="array" ref="K478">QUARTILE(IF($F$3:$F$1460=$F478,$H$3:$H$1460),1)</f>
        <v>22.082500000000003</v>
      </c>
      <c r="L478" s="9">
        <f t="array" ref="L478">QUARTILE(IF($F$3:$F$1460=$F478,$H$3:$H$1460),2)</f>
        <v>31.15</v>
      </c>
      <c r="M478" s="9">
        <f t="array" ref="M478">QUARTILE(IF($F$3:$F$1460=$F478,$H$3:$H$1460),3)</f>
        <v>48.125</v>
      </c>
    </row>
    <row r="479" spans="1:13" x14ac:dyDescent="0.25">
      <c r="A479" s="7">
        <v>479</v>
      </c>
      <c r="B479" s="6" t="s">
        <v>97</v>
      </c>
      <c r="C479" s="7">
        <v>5359822</v>
      </c>
      <c r="D479" s="23" t="s">
        <v>318</v>
      </c>
      <c r="E479" s="6" t="s">
        <v>319</v>
      </c>
      <c r="F479" s="21" t="s">
        <v>20</v>
      </c>
      <c r="G479" s="6" t="s">
        <v>413</v>
      </c>
      <c r="H479" s="22">
        <v>25</v>
      </c>
      <c r="I479" s="9">
        <v>20</v>
      </c>
      <c r="J479" s="22">
        <f t="shared" si="5"/>
        <v>500</v>
      </c>
      <c r="K479" s="9">
        <f t="array" ref="K479">QUARTILE(IF($F$3:$F$1460=$F479,$H$3:$H$1460),1)</f>
        <v>22.082500000000003</v>
      </c>
      <c r="L479" s="9">
        <f t="array" ref="L479">QUARTILE(IF($F$3:$F$1460=$F479,$H$3:$H$1460),2)</f>
        <v>31.15</v>
      </c>
      <c r="M479" s="9">
        <f t="array" ref="M479">QUARTILE(IF($F$3:$F$1460=$F479,$H$3:$H$1460),3)</f>
        <v>48.125</v>
      </c>
    </row>
    <row r="480" spans="1:13" x14ac:dyDescent="0.25">
      <c r="A480" s="7">
        <v>480</v>
      </c>
      <c r="B480" s="6" t="s">
        <v>97</v>
      </c>
      <c r="C480" s="7">
        <v>5359822</v>
      </c>
      <c r="D480" s="23" t="s">
        <v>318</v>
      </c>
      <c r="E480" s="6" t="s">
        <v>319</v>
      </c>
      <c r="F480" s="21" t="s">
        <v>20</v>
      </c>
      <c r="G480" s="6" t="s">
        <v>414</v>
      </c>
      <c r="H480" s="22">
        <v>39</v>
      </c>
      <c r="I480" s="9">
        <v>10</v>
      </c>
      <c r="J480" s="22">
        <f t="shared" si="5"/>
        <v>390</v>
      </c>
      <c r="K480" s="9">
        <f t="array" ref="K480">QUARTILE(IF($F$3:$F$1460=$F480,$H$3:$H$1460),1)</f>
        <v>22.082500000000003</v>
      </c>
      <c r="L480" s="9">
        <f t="array" ref="L480">QUARTILE(IF($F$3:$F$1460=$F480,$H$3:$H$1460),2)</f>
        <v>31.15</v>
      </c>
      <c r="M480" s="9">
        <f t="array" ref="M480">QUARTILE(IF($F$3:$F$1460=$F480,$H$3:$H$1460),3)</f>
        <v>48.125</v>
      </c>
    </row>
    <row r="481" spans="1:13" x14ac:dyDescent="0.25">
      <c r="A481" s="7">
        <v>481</v>
      </c>
      <c r="B481" s="6" t="s">
        <v>97</v>
      </c>
      <c r="C481" s="7">
        <v>5359822</v>
      </c>
      <c r="D481" s="23" t="s">
        <v>318</v>
      </c>
      <c r="E481" s="6" t="s">
        <v>319</v>
      </c>
      <c r="F481" s="21" t="s">
        <v>20</v>
      </c>
      <c r="G481" s="6" t="s">
        <v>415</v>
      </c>
      <c r="H481" s="22">
        <v>14.3</v>
      </c>
      <c r="I481" s="9">
        <v>10</v>
      </c>
      <c r="J481" s="22">
        <f t="shared" si="5"/>
        <v>143</v>
      </c>
      <c r="K481" s="9">
        <f t="array" ref="K481">QUARTILE(IF($F$3:$F$1460=$F481,$H$3:$H$1460),1)</f>
        <v>22.082500000000003</v>
      </c>
      <c r="L481" s="9">
        <f t="array" ref="L481">QUARTILE(IF($F$3:$F$1460=$F481,$H$3:$H$1460),2)</f>
        <v>31.15</v>
      </c>
      <c r="M481" s="9">
        <f t="array" ref="M481">QUARTILE(IF($F$3:$F$1460=$F481,$H$3:$H$1460),3)</f>
        <v>48.125</v>
      </c>
    </row>
    <row r="482" spans="1:13" x14ac:dyDescent="0.25">
      <c r="A482" s="7">
        <v>482</v>
      </c>
      <c r="B482" s="6" t="s">
        <v>97</v>
      </c>
      <c r="C482" s="7">
        <v>5359822</v>
      </c>
      <c r="D482" s="23" t="s">
        <v>318</v>
      </c>
      <c r="E482" s="6" t="s">
        <v>319</v>
      </c>
      <c r="F482" s="21" t="s">
        <v>20</v>
      </c>
      <c r="G482" s="6" t="s">
        <v>416</v>
      </c>
      <c r="H482" s="22">
        <v>16</v>
      </c>
      <c r="I482" s="9">
        <v>10</v>
      </c>
      <c r="J482" s="22">
        <f t="shared" si="5"/>
        <v>160</v>
      </c>
      <c r="K482" s="9">
        <f t="array" ref="K482">QUARTILE(IF($F$3:$F$1460=$F482,$H$3:$H$1460),1)</f>
        <v>22.082500000000003</v>
      </c>
      <c r="L482" s="9">
        <f t="array" ref="L482">QUARTILE(IF($F$3:$F$1460=$F482,$H$3:$H$1460),2)</f>
        <v>31.15</v>
      </c>
      <c r="M482" s="9">
        <f t="array" ref="M482">QUARTILE(IF($F$3:$F$1460=$F482,$H$3:$H$1460),3)</f>
        <v>48.125</v>
      </c>
    </row>
    <row r="483" spans="1:13" x14ac:dyDescent="0.25">
      <c r="A483" s="7">
        <v>483</v>
      </c>
      <c r="B483" s="6" t="s">
        <v>97</v>
      </c>
      <c r="C483" s="7">
        <v>5359822</v>
      </c>
      <c r="D483" s="23" t="s">
        <v>318</v>
      </c>
      <c r="E483" s="6" t="s">
        <v>319</v>
      </c>
      <c r="F483" s="21" t="s">
        <v>20</v>
      </c>
      <c r="G483" s="6" t="s">
        <v>417</v>
      </c>
      <c r="H483" s="22">
        <v>23</v>
      </c>
      <c r="I483" s="9">
        <v>25</v>
      </c>
      <c r="J483" s="22">
        <f t="shared" si="5"/>
        <v>575</v>
      </c>
      <c r="K483" s="9">
        <f t="array" ref="K483">QUARTILE(IF($F$3:$F$1460=$F483,$H$3:$H$1460),1)</f>
        <v>22.082500000000003</v>
      </c>
      <c r="L483" s="9">
        <f t="array" ref="L483">QUARTILE(IF($F$3:$F$1460=$F483,$H$3:$H$1460),2)</f>
        <v>31.15</v>
      </c>
      <c r="M483" s="9">
        <f t="array" ref="M483">QUARTILE(IF($F$3:$F$1460=$F483,$H$3:$H$1460),3)</f>
        <v>48.125</v>
      </c>
    </row>
    <row r="484" spans="1:13" x14ac:dyDescent="0.25">
      <c r="A484" s="7">
        <v>484</v>
      </c>
      <c r="B484" s="6" t="s">
        <v>97</v>
      </c>
      <c r="C484" s="7">
        <v>5359822</v>
      </c>
      <c r="D484" s="23" t="s">
        <v>318</v>
      </c>
      <c r="E484" s="6" t="s">
        <v>319</v>
      </c>
      <c r="F484" s="21" t="s">
        <v>20</v>
      </c>
      <c r="G484" s="6" t="s">
        <v>418</v>
      </c>
      <c r="H484" s="22">
        <v>29.8</v>
      </c>
      <c r="I484" s="9">
        <v>25</v>
      </c>
      <c r="J484" s="22">
        <f t="shared" si="5"/>
        <v>745</v>
      </c>
      <c r="K484" s="9">
        <f t="array" ref="K484">QUARTILE(IF($F$3:$F$1460=$F484,$H$3:$H$1460),1)</f>
        <v>22.082500000000003</v>
      </c>
      <c r="L484" s="9">
        <f t="array" ref="L484">QUARTILE(IF($F$3:$F$1460=$F484,$H$3:$H$1460),2)</f>
        <v>31.15</v>
      </c>
      <c r="M484" s="9">
        <f t="array" ref="M484">QUARTILE(IF($F$3:$F$1460=$F484,$H$3:$H$1460),3)</f>
        <v>48.125</v>
      </c>
    </row>
    <row r="485" spans="1:13" x14ac:dyDescent="0.25">
      <c r="A485" s="7">
        <v>485</v>
      </c>
      <c r="B485" s="6" t="s">
        <v>97</v>
      </c>
      <c r="C485" s="7">
        <v>5359822</v>
      </c>
      <c r="D485" s="23" t="s">
        <v>318</v>
      </c>
      <c r="E485" s="6" t="s">
        <v>319</v>
      </c>
      <c r="F485" s="21" t="s">
        <v>20</v>
      </c>
      <c r="G485" s="6" t="s">
        <v>419</v>
      </c>
      <c r="H485" s="22">
        <v>27</v>
      </c>
      <c r="I485" s="9">
        <v>25</v>
      </c>
      <c r="J485" s="22">
        <f t="shared" si="5"/>
        <v>675</v>
      </c>
      <c r="K485" s="9">
        <f t="array" ref="K485">QUARTILE(IF($F$3:$F$1460=$F485,$H$3:$H$1460),1)</f>
        <v>22.082500000000003</v>
      </c>
      <c r="L485" s="9">
        <f t="array" ref="L485">QUARTILE(IF($F$3:$F$1460=$F485,$H$3:$H$1460),2)</f>
        <v>31.15</v>
      </c>
      <c r="M485" s="9">
        <f t="array" ref="M485">QUARTILE(IF($F$3:$F$1460=$F485,$H$3:$H$1460),3)</f>
        <v>48.125</v>
      </c>
    </row>
    <row r="486" spans="1:13" x14ac:dyDescent="0.25">
      <c r="A486" s="7">
        <v>486</v>
      </c>
      <c r="B486" s="6" t="s">
        <v>97</v>
      </c>
      <c r="C486" s="7">
        <v>5359822</v>
      </c>
      <c r="D486" s="23" t="s">
        <v>318</v>
      </c>
      <c r="E486" s="6" t="s">
        <v>319</v>
      </c>
      <c r="F486" s="21" t="s">
        <v>20</v>
      </c>
      <c r="G486" s="6" t="s">
        <v>420</v>
      </c>
      <c r="H486" s="22">
        <v>27.8</v>
      </c>
      <c r="I486" s="9">
        <v>25</v>
      </c>
      <c r="J486" s="22">
        <f t="shared" si="5"/>
        <v>695</v>
      </c>
      <c r="K486" s="9">
        <f t="array" ref="K486">QUARTILE(IF($F$3:$F$1460=$F486,$H$3:$H$1460),1)</f>
        <v>22.082500000000003</v>
      </c>
      <c r="L486" s="9">
        <f t="array" ref="L486">QUARTILE(IF($F$3:$F$1460=$F486,$H$3:$H$1460),2)</f>
        <v>31.15</v>
      </c>
      <c r="M486" s="9">
        <f t="array" ref="M486">QUARTILE(IF($F$3:$F$1460=$F486,$H$3:$H$1460),3)</f>
        <v>48.125</v>
      </c>
    </row>
    <row r="487" spans="1:13" x14ac:dyDescent="0.25">
      <c r="A487" s="7">
        <v>487</v>
      </c>
      <c r="B487" s="6" t="s">
        <v>97</v>
      </c>
      <c r="C487" s="7">
        <v>5359822</v>
      </c>
      <c r="D487" s="23" t="s">
        <v>318</v>
      </c>
      <c r="E487" s="6" t="s">
        <v>319</v>
      </c>
      <c r="F487" s="21" t="s">
        <v>20</v>
      </c>
      <c r="G487" s="6" t="s">
        <v>421</v>
      </c>
      <c r="H487" s="22">
        <v>50</v>
      </c>
      <c r="I487" s="9">
        <v>20</v>
      </c>
      <c r="J487" s="22">
        <f t="shared" si="5"/>
        <v>1000</v>
      </c>
      <c r="K487" s="9">
        <f t="array" ref="K487">QUARTILE(IF($F$3:$F$1460=$F487,$H$3:$H$1460),1)</f>
        <v>22.082500000000003</v>
      </c>
      <c r="L487" s="9">
        <f t="array" ref="L487">QUARTILE(IF($F$3:$F$1460=$F487,$H$3:$H$1460),2)</f>
        <v>31.15</v>
      </c>
      <c r="M487" s="9">
        <f t="array" ref="M487">QUARTILE(IF($F$3:$F$1460=$F487,$H$3:$H$1460),3)</f>
        <v>48.125</v>
      </c>
    </row>
    <row r="488" spans="1:13" x14ac:dyDescent="0.25">
      <c r="A488" s="7">
        <v>488</v>
      </c>
      <c r="B488" s="6" t="s">
        <v>97</v>
      </c>
      <c r="C488" s="7">
        <v>5359822</v>
      </c>
      <c r="D488" s="23" t="s">
        <v>318</v>
      </c>
      <c r="E488" s="6" t="s">
        <v>319</v>
      </c>
      <c r="F488" s="21" t="s">
        <v>20</v>
      </c>
      <c r="G488" s="6" t="s">
        <v>422</v>
      </c>
      <c r="H488" s="22">
        <v>47</v>
      </c>
      <c r="I488" s="9">
        <v>20</v>
      </c>
      <c r="J488" s="22">
        <f t="shared" si="5"/>
        <v>940</v>
      </c>
      <c r="K488" s="9">
        <f t="array" ref="K488">QUARTILE(IF($F$3:$F$1460=$F488,$H$3:$H$1460),1)</f>
        <v>22.082500000000003</v>
      </c>
      <c r="L488" s="9">
        <f t="array" ref="L488">QUARTILE(IF($F$3:$F$1460=$F488,$H$3:$H$1460),2)</f>
        <v>31.15</v>
      </c>
      <c r="M488" s="9">
        <f t="array" ref="M488">QUARTILE(IF($F$3:$F$1460=$F488,$H$3:$H$1460),3)</f>
        <v>48.125</v>
      </c>
    </row>
    <row r="489" spans="1:13" x14ac:dyDescent="0.25">
      <c r="A489" s="7">
        <v>489</v>
      </c>
      <c r="B489" s="6" t="s">
        <v>97</v>
      </c>
      <c r="C489" s="7">
        <v>5359822</v>
      </c>
      <c r="D489" s="23" t="s">
        <v>318</v>
      </c>
      <c r="E489" s="6" t="s">
        <v>319</v>
      </c>
      <c r="F489" s="21" t="s">
        <v>20</v>
      </c>
      <c r="G489" s="6" t="s">
        <v>423</v>
      </c>
      <c r="H489" s="22">
        <v>89.9</v>
      </c>
      <c r="I489" s="9">
        <v>15</v>
      </c>
      <c r="J489" s="22">
        <f t="shared" si="5"/>
        <v>1348.5</v>
      </c>
      <c r="K489" s="9">
        <f t="array" ref="K489">QUARTILE(IF($F$3:$F$1460=$F489,$H$3:$H$1460),1)</f>
        <v>22.082500000000003</v>
      </c>
      <c r="L489" s="9">
        <f t="array" ref="L489">QUARTILE(IF($F$3:$F$1460=$F489,$H$3:$H$1460),2)</f>
        <v>31.15</v>
      </c>
      <c r="M489" s="9">
        <f t="array" ref="M489">QUARTILE(IF($F$3:$F$1460=$F489,$H$3:$H$1460),3)</f>
        <v>48.125</v>
      </c>
    </row>
    <row r="490" spans="1:13" x14ac:dyDescent="0.25">
      <c r="A490" s="7">
        <v>490</v>
      </c>
      <c r="B490" s="6" t="s">
        <v>97</v>
      </c>
      <c r="C490" s="7">
        <v>5359822</v>
      </c>
      <c r="D490" s="23" t="s">
        <v>318</v>
      </c>
      <c r="E490" s="6" t="s">
        <v>319</v>
      </c>
      <c r="F490" s="21" t="s">
        <v>20</v>
      </c>
      <c r="G490" s="6" t="s">
        <v>424</v>
      </c>
      <c r="H490" s="22">
        <v>13.4</v>
      </c>
      <c r="I490" s="9">
        <v>10</v>
      </c>
      <c r="J490" s="22">
        <f t="shared" si="5"/>
        <v>134</v>
      </c>
      <c r="K490" s="9">
        <f t="array" ref="K490">QUARTILE(IF($F$3:$F$1460=$F490,$H$3:$H$1460),1)</f>
        <v>22.082500000000003</v>
      </c>
      <c r="L490" s="9">
        <f t="array" ref="L490">QUARTILE(IF($F$3:$F$1460=$F490,$H$3:$H$1460),2)</f>
        <v>31.15</v>
      </c>
      <c r="M490" s="9">
        <f t="array" ref="M490">QUARTILE(IF($F$3:$F$1460=$F490,$H$3:$H$1460),3)</f>
        <v>48.125</v>
      </c>
    </row>
    <row r="491" spans="1:13" x14ac:dyDescent="0.25">
      <c r="A491" s="7">
        <v>491</v>
      </c>
      <c r="B491" s="6" t="s">
        <v>97</v>
      </c>
      <c r="C491" s="7">
        <v>5359822</v>
      </c>
      <c r="D491" s="23" t="s">
        <v>318</v>
      </c>
      <c r="E491" s="6" t="s">
        <v>319</v>
      </c>
      <c r="F491" s="21" t="s">
        <v>20</v>
      </c>
      <c r="G491" s="6" t="s">
        <v>425</v>
      </c>
      <c r="H491" s="22">
        <v>15.8</v>
      </c>
      <c r="I491" s="9">
        <v>10</v>
      </c>
      <c r="J491" s="22">
        <f t="shared" si="5"/>
        <v>158</v>
      </c>
      <c r="K491" s="9">
        <f t="array" ref="K491">QUARTILE(IF($F$3:$F$1460=$F491,$H$3:$H$1460),1)</f>
        <v>22.082500000000003</v>
      </c>
      <c r="L491" s="9">
        <f t="array" ref="L491">QUARTILE(IF($F$3:$F$1460=$F491,$H$3:$H$1460),2)</f>
        <v>31.15</v>
      </c>
      <c r="M491" s="9">
        <f t="array" ref="M491">QUARTILE(IF($F$3:$F$1460=$F491,$H$3:$H$1460),3)</f>
        <v>48.125</v>
      </c>
    </row>
    <row r="492" spans="1:13" x14ac:dyDescent="0.25">
      <c r="A492" s="7">
        <v>492</v>
      </c>
      <c r="B492" s="6" t="s">
        <v>97</v>
      </c>
      <c r="C492" s="7">
        <v>5359822</v>
      </c>
      <c r="D492" s="23" t="s">
        <v>318</v>
      </c>
      <c r="E492" s="6" t="s">
        <v>319</v>
      </c>
      <c r="F492" s="21" t="s">
        <v>20</v>
      </c>
      <c r="G492" s="6" t="s">
        <v>426</v>
      </c>
      <c r="H492" s="22">
        <v>25</v>
      </c>
      <c r="I492" s="9">
        <v>15</v>
      </c>
      <c r="J492" s="22">
        <f t="shared" si="5"/>
        <v>375</v>
      </c>
      <c r="K492" s="9">
        <f t="array" ref="K492">QUARTILE(IF($F$3:$F$1460=$F492,$H$3:$H$1460),1)</f>
        <v>22.082500000000003</v>
      </c>
      <c r="L492" s="9">
        <f t="array" ref="L492">QUARTILE(IF($F$3:$F$1460=$F492,$H$3:$H$1460),2)</f>
        <v>31.15</v>
      </c>
      <c r="M492" s="9">
        <f t="array" ref="M492">QUARTILE(IF($F$3:$F$1460=$F492,$H$3:$H$1460),3)</f>
        <v>48.125</v>
      </c>
    </row>
    <row r="493" spans="1:13" x14ac:dyDescent="0.25">
      <c r="A493" s="7">
        <v>493</v>
      </c>
      <c r="B493" s="6" t="s">
        <v>97</v>
      </c>
      <c r="C493" s="7">
        <v>5359822</v>
      </c>
      <c r="D493" s="23" t="s">
        <v>318</v>
      </c>
      <c r="E493" s="6" t="s">
        <v>319</v>
      </c>
      <c r="F493" s="21" t="s">
        <v>20</v>
      </c>
      <c r="G493" s="6" t="s">
        <v>427</v>
      </c>
      <c r="H493" s="22">
        <v>25.5</v>
      </c>
      <c r="I493" s="9">
        <v>15</v>
      </c>
      <c r="J493" s="22">
        <f t="shared" si="5"/>
        <v>382.5</v>
      </c>
      <c r="K493" s="9">
        <f t="array" ref="K493">QUARTILE(IF($F$3:$F$1460=$F493,$H$3:$H$1460),1)</f>
        <v>22.082500000000003</v>
      </c>
      <c r="L493" s="9">
        <f t="array" ref="L493">QUARTILE(IF($F$3:$F$1460=$F493,$H$3:$H$1460),2)</f>
        <v>31.15</v>
      </c>
      <c r="M493" s="9">
        <f t="array" ref="M493">QUARTILE(IF($F$3:$F$1460=$F493,$H$3:$H$1460),3)</f>
        <v>48.125</v>
      </c>
    </row>
    <row r="494" spans="1:13" x14ac:dyDescent="0.25">
      <c r="A494" s="7">
        <v>494</v>
      </c>
      <c r="B494" s="6" t="s">
        <v>97</v>
      </c>
      <c r="C494" s="7">
        <v>5359822</v>
      </c>
      <c r="D494" s="23" t="s">
        <v>318</v>
      </c>
      <c r="E494" s="6" t="s">
        <v>319</v>
      </c>
      <c r="F494" s="21" t="s">
        <v>20</v>
      </c>
      <c r="G494" s="6" t="s">
        <v>428</v>
      </c>
      <c r="H494" s="22">
        <v>44</v>
      </c>
      <c r="I494" s="9">
        <v>10</v>
      </c>
      <c r="J494" s="22">
        <f t="shared" si="5"/>
        <v>440</v>
      </c>
      <c r="K494" s="9">
        <f t="array" ref="K494">QUARTILE(IF($F$3:$F$1460=$F494,$H$3:$H$1460),1)</f>
        <v>22.082500000000003</v>
      </c>
      <c r="L494" s="9">
        <f t="array" ref="L494">QUARTILE(IF($F$3:$F$1460=$F494,$H$3:$H$1460),2)</f>
        <v>31.15</v>
      </c>
      <c r="M494" s="9">
        <f t="array" ref="M494">QUARTILE(IF($F$3:$F$1460=$F494,$H$3:$H$1460),3)</f>
        <v>48.125</v>
      </c>
    </row>
    <row r="495" spans="1:13" x14ac:dyDescent="0.25">
      <c r="A495" s="7">
        <v>495</v>
      </c>
      <c r="B495" s="6" t="s">
        <v>97</v>
      </c>
      <c r="C495" s="7">
        <v>5359822</v>
      </c>
      <c r="D495" s="23" t="s">
        <v>318</v>
      </c>
      <c r="E495" s="6" t="s">
        <v>319</v>
      </c>
      <c r="F495" s="21" t="s">
        <v>20</v>
      </c>
      <c r="G495" s="6" t="s">
        <v>429</v>
      </c>
      <c r="H495" s="22">
        <v>46</v>
      </c>
      <c r="I495" s="9">
        <v>10</v>
      </c>
      <c r="J495" s="22">
        <f t="shared" si="5"/>
        <v>460</v>
      </c>
      <c r="K495" s="9">
        <f t="array" ref="K495">QUARTILE(IF($F$3:$F$1460=$F495,$H$3:$H$1460),1)</f>
        <v>22.082500000000003</v>
      </c>
      <c r="L495" s="9">
        <f t="array" ref="L495">QUARTILE(IF($F$3:$F$1460=$F495,$H$3:$H$1460),2)</f>
        <v>31.15</v>
      </c>
      <c r="M495" s="9">
        <f t="array" ref="M495">QUARTILE(IF($F$3:$F$1460=$F495,$H$3:$H$1460),3)</f>
        <v>48.125</v>
      </c>
    </row>
    <row r="496" spans="1:13" x14ac:dyDescent="0.25">
      <c r="A496" s="7">
        <v>496</v>
      </c>
      <c r="B496" s="6" t="s">
        <v>97</v>
      </c>
      <c r="C496" s="7">
        <v>5359822</v>
      </c>
      <c r="D496" s="23" t="s">
        <v>318</v>
      </c>
      <c r="E496" s="6" t="s">
        <v>319</v>
      </c>
      <c r="F496" s="21" t="s">
        <v>20</v>
      </c>
      <c r="G496" s="6" t="s">
        <v>430</v>
      </c>
      <c r="H496" s="22">
        <v>27.8</v>
      </c>
      <c r="I496" s="9">
        <v>8</v>
      </c>
      <c r="J496" s="22">
        <f t="shared" si="5"/>
        <v>222.4</v>
      </c>
      <c r="K496" s="9">
        <f t="array" ref="K496">QUARTILE(IF($F$3:$F$1460=$F496,$H$3:$H$1460),1)</f>
        <v>22.082500000000003</v>
      </c>
      <c r="L496" s="9">
        <f t="array" ref="L496">QUARTILE(IF($F$3:$F$1460=$F496,$H$3:$H$1460),2)</f>
        <v>31.15</v>
      </c>
      <c r="M496" s="9">
        <f t="array" ref="M496">QUARTILE(IF($F$3:$F$1460=$F496,$H$3:$H$1460),3)</f>
        <v>48.125</v>
      </c>
    </row>
    <row r="497" spans="1:13" x14ac:dyDescent="0.25">
      <c r="A497" s="7">
        <v>497</v>
      </c>
      <c r="B497" s="6" t="s">
        <v>97</v>
      </c>
      <c r="C497" s="7">
        <v>5359822</v>
      </c>
      <c r="D497" s="23" t="s">
        <v>318</v>
      </c>
      <c r="E497" s="6" t="s">
        <v>319</v>
      </c>
      <c r="F497" s="21" t="s">
        <v>20</v>
      </c>
      <c r="G497" s="6" t="s">
        <v>431</v>
      </c>
      <c r="H497" s="22">
        <v>32.5</v>
      </c>
      <c r="I497" s="9">
        <v>8</v>
      </c>
      <c r="J497" s="22">
        <f t="shared" si="5"/>
        <v>260</v>
      </c>
      <c r="K497" s="9">
        <f t="array" ref="K497">QUARTILE(IF($F$3:$F$1460=$F497,$H$3:$H$1460),1)</f>
        <v>22.082500000000003</v>
      </c>
      <c r="L497" s="9">
        <f t="array" ref="L497">QUARTILE(IF($F$3:$F$1460=$F497,$H$3:$H$1460),2)</f>
        <v>31.15</v>
      </c>
      <c r="M497" s="9">
        <f t="array" ref="M497">QUARTILE(IF($F$3:$F$1460=$F497,$H$3:$H$1460),3)</f>
        <v>48.125</v>
      </c>
    </row>
    <row r="498" spans="1:13" x14ac:dyDescent="0.25">
      <c r="A498" s="7">
        <v>498</v>
      </c>
      <c r="B498" s="6" t="s">
        <v>97</v>
      </c>
      <c r="C498" s="7">
        <v>5359822</v>
      </c>
      <c r="D498" s="23" t="s">
        <v>318</v>
      </c>
      <c r="E498" s="6" t="s">
        <v>319</v>
      </c>
      <c r="F498" s="21" t="s">
        <v>20</v>
      </c>
      <c r="G498" s="6" t="s">
        <v>432</v>
      </c>
      <c r="H498" s="22">
        <v>48.5</v>
      </c>
      <c r="I498" s="9">
        <v>10</v>
      </c>
      <c r="J498" s="22">
        <f t="shared" si="5"/>
        <v>485</v>
      </c>
      <c r="K498" s="9">
        <f t="array" ref="K498">QUARTILE(IF($F$3:$F$1460=$F498,$H$3:$H$1460),1)</f>
        <v>22.082500000000003</v>
      </c>
      <c r="L498" s="9">
        <f t="array" ref="L498">QUARTILE(IF($F$3:$F$1460=$F498,$H$3:$H$1460),2)</f>
        <v>31.15</v>
      </c>
      <c r="M498" s="9">
        <f t="array" ref="M498">QUARTILE(IF($F$3:$F$1460=$F498,$H$3:$H$1460),3)</f>
        <v>48.125</v>
      </c>
    </row>
    <row r="499" spans="1:13" x14ac:dyDescent="0.25">
      <c r="A499" s="7">
        <v>499</v>
      </c>
      <c r="B499" s="6" t="s">
        <v>97</v>
      </c>
      <c r="C499" s="7">
        <v>5359822</v>
      </c>
      <c r="D499" s="23" t="s">
        <v>318</v>
      </c>
      <c r="E499" s="6" t="s">
        <v>319</v>
      </c>
      <c r="F499" s="21" t="s">
        <v>20</v>
      </c>
      <c r="G499" s="6" t="s">
        <v>433</v>
      </c>
      <c r="H499" s="22">
        <v>52.9</v>
      </c>
      <c r="I499" s="9">
        <v>10</v>
      </c>
      <c r="J499" s="22">
        <f t="shared" si="5"/>
        <v>529</v>
      </c>
      <c r="K499" s="9">
        <f t="array" ref="K499">QUARTILE(IF($F$3:$F$1460=$F499,$H$3:$H$1460),1)</f>
        <v>22.082500000000003</v>
      </c>
      <c r="L499" s="9">
        <f t="array" ref="L499">QUARTILE(IF($F$3:$F$1460=$F499,$H$3:$H$1460),2)</f>
        <v>31.15</v>
      </c>
      <c r="M499" s="9">
        <f t="array" ref="M499">QUARTILE(IF($F$3:$F$1460=$F499,$H$3:$H$1460),3)</f>
        <v>48.125</v>
      </c>
    </row>
    <row r="500" spans="1:13" x14ac:dyDescent="0.25">
      <c r="A500" s="7">
        <v>500</v>
      </c>
      <c r="B500" s="6" t="s">
        <v>97</v>
      </c>
      <c r="C500" s="7">
        <v>5359822</v>
      </c>
      <c r="D500" s="23" t="s">
        <v>318</v>
      </c>
      <c r="E500" s="6" t="s">
        <v>319</v>
      </c>
      <c r="F500" s="21" t="s">
        <v>20</v>
      </c>
      <c r="G500" s="6" t="s">
        <v>434</v>
      </c>
      <c r="H500" s="22">
        <v>95.5</v>
      </c>
      <c r="I500" s="9">
        <v>10</v>
      </c>
      <c r="J500" s="22">
        <f t="shared" si="5"/>
        <v>955</v>
      </c>
      <c r="K500" s="9">
        <f t="array" ref="K500">QUARTILE(IF($F$3:$F$1460=$F500,$H$3:$H$1460),1)</f>
        <v>22.082500000000003</v>
      </c>
      <c r="L500" s="9">
        <f t="array" ref="L500">QUARTILE(IF($F$3:$F$1460=$F500,$H$3:$H$1460),2)</f>
        <v>31.15</v>
      </c>
      <c r="M500" s="9">
        <f t="array" ref="M500">QUARTILE(IF($F$3:$F$1460=$F500,$H$3:$H$1460),3)</f>
        <v>48.125</v>
      </c>
    </row>
    <row r="501" spans="1:13" x14ac:dyDescent="0.25">
      <c r="A501" s="7">
        <v>501</v>
      </c>
      <c r="B501" s="6" t="s">
        <v>97</v>
      </c>
      <c r="C501" s="7">
        <v>5359822</v>
      </c>
      <c r="D501" s="23" t="s">
        <v>318</v>
      </c>
      <c r="E501" s="6" t="s">
        <v>319</v>
      </c>
      <c r="F501" s="21" t="s">
        <v>20</v>
      </c>
      <c r="G501" s="6" t="s">
        <v>435</v>
      </c>
      <c r="H501" s="22">
        <v>178</v>
      </c>
      <c r="I501" s="9">
        <v>10</v>
      </c>
      <c r="J501" s="22">
        <f t="shared" si="5"/>
        <v>1780</v>
      </c>
      <c r="K501" s="9">
        <f t="array" ref="K501">QUARTILE(IF($F$3:$F$1460=$F501,$H$3:$H$1460),1)</f>
        <v>22.082500000000003</v>
      </c>
      <c r="L501" s="9">
        <f t="array" ref="L501">QUARTILE(IF($F$3:$F$1460=$F501,$H$3:$H$1460),2)</f>
        <v>31.15</v>
      </c>
      <c r="M501" s="9">
        <f t="array" ref="M501">QUARTILE(IF($F$3:$F$1460=$F501,$H$3:$H$1460),3)</f>
        <v>48.125</v>
      </c>
    </row>
    <row r="502" spans="1:13" x14ac:dyDescent="0.25">
      <c r="A502" s="7">
        <v>502</v>
      </c>
      <c r="B502" s="6" t="s">
        <v>97</v>
      </c>
      <c r="C502" s="7">
        <v>5359822</v>
      </c>
      <c r="D502" s="23" t="s">
        <v>318</v>
      </c>
      <c r="E502" s="6" t="s">
        <v>319</v>
      </c>
      <c r="F502" s="21" t="s">
        <v>20</v>
      </c>
      <c r="G502" s="6" t="s">
        <v>436</v>
      </c>
      <c r="H502" s="22">
        <v>15</v>
      </c>
      <c r="I502" s="9">
        <v>8</v>
      </c>
      <c r="J502" s="22">
        <f t="shared" si="5"/>
        <v>120</v>
      </c>
      <c r="K502" s="9">
        <f t="array" ref="K502">QUARTILE(IF($F$3:$F$1460=$F502,$H$3:$H$1460),1)</f>
        <v>22.082500000000003</v>
      </c>
      <c r="L502" s="9">
        <f t="array" ref="L502">QUARTILE(IF($F$3:$F$1460=$F502,$H$3:$H$1460),2)</f>
        <v>31.15</v>
      </c>
      <c r="M502" s="9">
        <f t="array" ref="M502">QUARTILE(IF($F$3:$F$1460=$F502,$H$3:$H$1460),3)</f>
        <v>48.125</v>
      </c>
    </row>
    <row r="503" spans="1:13" x14ac:dyDescent="0.25">
      <c r="A503" s="7">
        <v>503</v>
      </c>
      <c r="B503" s="6" t="s">
        <v>97</v>
      </c>
      <c r="C503" s="7">
        <v>5359822</v>
      </c>
      <c r="D503" s="23" t="s">
        <v>318</v>
      </c>
      <c r="E503" s="6" t="s">
        <v>319</v>
      </c>
      <c r="F503" s="21" t="s">
        <v>20</v>
      </c>
      <c r="G503" s="6" t="s">
        <v>437</v>
      </c>
      <c r="H503" s="22">
        <v>34.5</v>
      </c>
      <c r="I503" s="9">
        <v>10</v>
      </c>
      <c r="J503" s="22">
        <f t="shared" si="5"/>
        <v>345</v>
      </c>
      <c r="K503" s="9">
        <f t="array" ref="K503">QUARTILE(IF($F$3:$F$1460=$F503,$H$3:$H$1460),1)</f>
        <v>22.082500000000003</v>
      </c>
      <c r="L503" s="9">
        <f t="array" ref="L503">QUARTILE(IF($F$3:$F$1460=$F503,$H$3:$H$1460),2)</f>
        <v>31.15</v>
      </c>
      <c r="M503" s="9">
        <f t="array" ref="M503">QUARTILE(IF($F$3:$F$1460=$F503,$H$3:$H$1460),3)</f>
        <v>48.125</v>
      </c>
    </row>
    <row r="504" spans="1:13" x14ac:dyDescent="0.25">
      <c r="A504" s="7">
        <v>504</v>
      </c>
      <c r="B504" s="6" t="s">
        <v>97</v>
      </c>
      <c r="C504" s="7">
        <v>5359822</v>
      </c>
      <c r="D504" s="23" t="s">
        <v>318</v>
      </c>
      <c r="E504" s="6" t="s">
        <v>319</v>
      </c>
      <c r="F504" s="21" t="s">
        <v>20</v>
      </c>
      <c r="G504" s="6" t="s">
        <v>438</v>
      </c>
      <c r="H504" s="22">
        <v>90</v>
      </c>
      <c r="I504" s="9">
        <v>15</v>
      </c>
      <c r="J504" s="22">
        <f t="shared" si="5"/>
        <v>1350</v>
      </c>
      <c r="K504" s="9">
        <f t="array" ref="K504">QUARTILE(IF($F$3:$F$1460=$F504,$H$3:$H$1460),1)</f>
        <v>22.082500000000003</v>
      </c>
      <c r="L504" s="9">
        <f t="array" ref="L504">QUARTILE(IF($F$3:$F$1460=$F504,$H$3:$H$1460),2)</f>
        <v>31.15</v>
      </c>
      <c r="M504" s="9">
        <f t="array" ref="M504">QUARTILE(IF($F$3:$F$1460=$F504,$H$3:$H$1460),3)</f>
        <v>48.125</v>
      </c>
    </row>
    <row r="505" spans="1:13" x14ac:dyDescent="0.25">
      <c r="A505" s="7">
        <v>505</v>
      </c>
      <c r="B505" s="6" t="s">
        <v>97</v>
      </c>
      <c r="C505" s="7">
        <v>5359822</v>
      </c>
      <c r="D505" s="23" t="s">
        <v>318</v>
      </c>
      <c r="E505" s="6" t="s">
        <v>319</v>
      </c>
      <c r="F505" s="21" t="s">
        <v>20</v>
      </c>
      <c r="G505" s="6" t="s">
        <v>439</v>
      </c>
      <c r="H505" s="22">
        <v>35.200000000000003</v>
      </c>
      <c r="I505" s="9">
        <v>5</v>
      </c>
      <c r="J505" s="22">
        <f t="shared" si="5"/>
        <v>176</v>
      </c>
      <c r="K505" s="9">
        <f t="array" ref="K505">QUARTILE(IF($F$3:$F$1460=$F505,$H$3:$H$1460),1)</f>
        <v>22.082500000000003</v>
      </c>
      <c r="L505" s="9">
        <f t="array" ref="L505">QUARTILE(IF($F$3:$F$1460=$F505,$H$3:$H$1460),2)</f>
        <v>31.15</v>
      </c>
      <c r="M505" s="9">
        <f t="array" ref="M505">QUARTILE(IF($F$3:$F$1460=$F505,$H$3:$H$1460),3)</f>
        <v>48.125</v>
      </c>
    </row>
    <row r="506" spans="1:13" x14ac:dyDescent="0.25">
      <c r="A506" s="7">
        <v>506</v>
      </c>
      <c r="B506" s="6" t="s">
        <v>97</v>
      </c>
      <c r="C506" s="7">
        <v>5359822</v>
      </c>
      <c r="D506" s="23" t="s">
        <v>318</v>
      </c>
      <c r="E506" s="6" t="s">
        <v>319</v>
      </c>
      <c r="F506" s="21" t="s">
        <v>20</v>
      </c>
      <c r="G506" s="6" t="s">
        <v>440</v>
      </c>
      <c r="H506" s="22">
        <v>65</v>
      </c>
      <c r="I506" s="9">
        <v>15</v>
      </c>
      <c r="J506" s="22">
        <f t="shared" si="5"/>
        <v>975</v>
      </c>
      <c r="K506" s="9">
        <f t="array" ref="K506">QUARTILE(IF($F$3:$F$1460=$F506,$H$3:$H$1460),1)</f>
        <v>22.082500000000003</v>
      </c>
      <c r="L506" s="9">
        <f t="array" ref="L506">QUARTILE(IF($F$3:$F$1460=$F506,$H$3:$H$1460),2)</f>
        <v>31.15</v>
      </c>
      <c r="M506" s="9">
        <f t="array" ref="M506">QUARTILE(IF($F$3:$F$1460=$F506,$H$3:$H$1460),3)</f>
        <v>48.125</v>
      </c>
    </row>
    <row r="507" spans="1:13" x14ac:dyDescent="0.25">
      <c r="A507" s="7">
        <v>507</v>
      </c>
      <c r="B507" s="6" t="s">
        <v>97</v>
      </c>
      <c r="C507" s="7">
        <v>5359822</v>
      </c>
      <c r="D507" s="23" t="s">
        <v>318</v>
      </c>
      <c r="E507" s="6" t="s">
        <v>319</v>
      </c>
      <c r="F507" s="21" t="s">
        <v>20</v>
      </c>
      <c r="G507" s="6" t="s">
        <v>441</v>
      </c>
      <c r="H507" s="22">
        <v>62</v>
      </c>
      <c r="I507" s="9">
        <v>10</v>
      </c>
      <c r="J507" s="22">
        <f t="shared" si="5"/>
        <v>620</v>
      </c>
      <c r="K507" s="9">
        <f t="array" ref="K507">QUARTILE(IF($F$3:$F$1460=$F507,$H$3:$H$1460),1)</f>
        <v>22.082500000000003</v>
      </c>
      <c r="L507" s="9">
        <f t="array" ref="L507">QUARTILE(IF($F$3:$F$1460=$F507,$H$3:$H$1460),2)</f>
        <v>31.15</v>
      </c>
      <c r="M507" s="9">
        <f t="array" ref="M507">QUARTILE(IF($F$3:$F$1460=$F507,$H$3:$H$1460),3)</f>
        <v>48.125</v>
      </c>
    </row>
    <row r="508" spans="1:13" x14ac:dyDescent="0.25">
      <c r="A508" s="7">
        <v>508</v>
      </c>
      <c r="B508" s="6" t="s">
        <v>97</v>
      </c>
      <c r="C508" s="7">
        <v>5359822</v>
      </c>
      <c r="D508" s="23" t="s">
        <v>318</v>
      </c>
      <c r="E508" s="6" t="s">
        <v>319</v>
      </c>
      <c r="F508" s="21" t="s">
        <v>20</v>
      </c>
      <c r="G508" s="6" t="s">
        <v>442</v>
      </c>
      <c r="H508" s="22">
        <v>14.4</v>
      </c>
      <c r="I508" s="9">
        <v>15</v>
      </c>
      <c r="J508" s="22">
        <f t="shared" si="5"/>
        <v>216</v>
      </c>
      <c r="K508" s="9">
        <f t="array" ref="K508">QUARTILE(IF($F$3:$F$1460=$F508,$H$3:$H$1460),1)</f>
        <v>22.082500000000003</v>
      </c>
      <c r="L508" s="9">
        <f t="array" ref="L508">QUARTILE(IF($F$3:$F$1460=$F508,$H$3:$H$1460),2)</f>
        <v>31.15</v>
      </c>
      <c r="M508" s="9">
        <f t="array" ref="M508">QUARTILE(IF($F$3:$F$1460=$F508,$H$3:$H$1460),3)</f>
        <v>48.125</v>
      </c>
    </row>
    <row r="509" spans="1:13" x14ac:dyDescent="0.25">
      <c r="A509" s="7">
        <v>509</v>
      </c>
      <c r="B509" s="6" t="s">
        <v>97</v>
      </c>
      <c r="C509" s="7">
        <v>5359822</v>
      </c>
      <c r="D509" s="23" t="s">
        <v>318</v>
      </c>
      <c r="E509" s="6" t="s">
        <v>319</v>
      </c>
      <c r="F509" s="21" t="s">
        <v>20</v>
      </c>
      <c r="G509" s="6" t="s">
        <v>443</v>
      </c>
      <c r="H509" s="22">
        <v>23.4</v>
      </c>
      <c r="I509" s="9">
        <v>20</v>
      </c>
      <c r="J509" s="22">
        <f t="shared" si="5"/>
        <v>468</v>
      </c>
      <c r="K509" s="9">
        <f t="array" ref="K509">QUARTILE(IF($F$3:$F$1460=$F509,$H$3:$H$1460),1)</f>
        <v>22.082500000000003</v>
      </c>
      <c r="L509" s="9">
        <f t="array" ref="L509">QUARTILE(IF($F$3:$F$1460=$F509,$H$3:$H$1460),2)</f>
        <v>31.15</v>
      </c>
      <c r="M509" s="9">
        <f t="array" ref="M509">QUARTILE(IF($F$3:$F$1460=$F509,$H$3:$H$1460),3)</f>
        <v>48.125</v>
      </c>
    </row>
    <row r="510" spans="1:13" x14ac:dyDescent="0.25">
      <c r="A510" s="7">
        <v>510</v>
      </c>
      <c r="B510" s="6" t="s">
        <v>97</v>
      </c>
      <c r="C510" s="7">
        <v>5359822</v>
      </c>
      <c r="D510" s="23" t="s">
        <v>318</v>
      </c>
      <c r="E510" s="6" t="s">
        <v>319</v>
      </c>
      <c r="F510" s="21" t="s">
        <v>20</v>
      </c>
      <c r="G510" s="6" t="s">
        <v>444</v>
      </c>
      <c r="H510" s="22">
        <v>44</v>
      </c>
      <c r="I510" s="9">
        <v>25</v>
      </c>
      <c r="J510" s="22">
        <f t="shared" si="5"/>
        <v>1100</v>
      </c>
      <c r="K510" s="9">
        <f t="array" ref="K510">QUARTILE(IF($F$3:$F$1460=$F510,$H$3:$H$1460),1)</f>
        <v>22.082500000000003</v>
      </c>
      <c r="L510" s="9">
        <f t="array" ref="L510">QUARTILE(IF($F$3:$F$1460=$F510,$H$3:$H$1460),2)</f>
        <v>31.15</v>
      </c>
      <c r="M510" s="9">
        <f t="array" ref="M510">QUARTILE(IF($F$3:$F$1460=$F510,$H$3:$H$1460),3)</f>
        <v>48.125</v>
      </c>
    </row>
    <row r="511" spans="1:13" x14ac:dyDescent="0.25">
      <c r="A511" s="7">
        <v>511</v>
      </c>
      <c r="B511" s="6" t="s">
        <v>97</v>
      </c>
      <c r="C511" s="7">
        <v>5359822</v>
      </c>
      <c r="D511" s="23" t="s">
        <v>318</v>
      </c>
      <c r="E511" s="6" t="s">
        <v>319</v>
      </c>
      <c r="F511" s="21" t="s">
        <v>20</v>
      </c>
      <c r="G511" s="6" t="s">
        <v>445</v>
      </c>
      <c r="H511" s="22">
        <v>32</v>
      </c>
      <c r="I511" s="9">
        <v>15</v>
      </c>
      <c r="J511" s="22">
        <f t="shared" si="5"/>
        <v>480</v>
      </c>
      <c r="K511" s="9">
        <f t="array" ref="K511">QUARTILE(IF($F$3:$F$1460=$F511,$H$3:$H$1460),1)</f>
        <v>22.082500000000003</v>
      </c>
      <c r="L511" s="9">
        <f t="array" ref="L511">QUARTILE(IF($F$3:$F$1460=$F511,$H$3:$H$1460),2)</f>
        <v>31.15</v>
      </c>
      <c r="M511" s="9">
        <f t="array" ref="M511">QUARTILE(IF($F$3:$F$1460=$F511,$H$3:$H$1460),3)</f>
        <v>48.125</v>
      </c>
    </row>
    <row r="512" spans="1:13" x14ac:dyDescent="0.25">
      <c r="A512" s="7">
        <v>512</v>
      </c>
      <c r="B512" s="6" t="s">
        <v>97</v>
      </c>
      <c r="C512" s="7">
        <v>5359822</v>
      </c>
      <c r="D512" s="23" t="s">
        <v>318</v>
      </c>
      <c r="E512" s="6" t="s">
        <v>319</v>
      </c>
      <c r="F512" s="21" t="s">
        <v>20</v>
      </c>
      <c r="G512" s="6" t="s">
        <v>446</v>
      </c>
      <c r="H512" s="22">
        <v>48</v>
      </c>
      <c r="I512" s="9">
        <v>5</v>
      </c>
      <c r="J512" s="22">
        <f t="shared" si="5"/>
        <v>240</v>
      </c>
      <c r="K512" s="9">
        <f t="array" ref="K512">QUARTILE(IF($F$3:$F$1460=$F512,$H$3:$H$1460),1)</f>
        <v>22.082500000000003</v>
      </c>
      <c r="L512" s="9">
        <f t="array" ref="L512">QUARTILE(IF($F$3:$F$1460=$F512,$H$3:$H$1460),2)</f>
        <v>31.15</v>
      </c>
      <c r="M512" s="9">
        <f t="array" ref="M512">QUARTILE(IF($F$3:$F$1460=$F512,$H$3:$H$1460),3)</f>
        <v>48.125</v>
      </c>
    </row>
    <row r="513" spans="1:13" x14ac:dyDescent="0.25">
      <c r="A513" s="7">
        <v>513</v>
      </c>
      <c r="B513" s="6" t="s">
        <v>97</v>
      </c>
      <c r="C513" s="7">
        <v>5359822</v>
      </c>
      <c r="D513" s="23" t="s">
        <v>318</v>
      </c>
      <c r="E513" s="6" t="s">
        <v>319</v>
      </c>
      <c r="F513" s="21" t="s">
        <v>20</v>
      </c>
      <c r="G513" s="6" t="s">
        <v>447</v>
      </c>
      <c r="H513" s="22">
        <v>95</v>
      </c>
      <c r="I513" s="9">
        <v>5</v>
      </c>
      <c r="J513" s="22">
        <f t="shared" si="5"/>
        <v>475</v>
      </c>
      <c r="K513" s="9">
        <f t="array" ref="K513">QUARTILE(IF($F$3:$F$1460=$F513,$H$3:$H$1460),1)</f>
        <v>22.082500000000003</v>
      </c>
      <c r="L513" s="9">
        <f t="array" ref="L513">QUARTILE(IF($F$3:$F$1460=$F513,$H$3:$H$1460),2)</f>
        <v>31.15</v>
      </c>
      <c r="M513" s="9">
        <f t="array" ref="M513">QUARTILE(IF($F$3:$F$1460=$F513,$H$3:$H$1460),3)</f>
        <v>48.125</v>
      </c>
    </row>
    <row r="514" spans="1:13" x14ac:dyDescent="0.25">
      <c r="A514" s="7">
        <v>514</v>
      </c>
      <c r="B514" s="6" t="s">
        <v>97</v>
      </c>
      <c r="C514" s="7">
        <v>5359822</v>
      </c>
      <c r="D514" s="23" t="s">
        <v>318</v>
      </c>
      <c r="E514" s="6" t="s">
        <v>319</v>
      </c>
      <c r="F514" s="21" t="s">
        <v>47</v>
      </c>
      <c r="G514" s="6" t="s">
        <v>448</v>
      </c>
      <c r="H514" s="22">
        <v>189</v>
      </c>
      <c r="I514" s="9">
        <v>10</v>
      </c>
      <c r="J514" s="22">
        <f t="shared" si="5"/>
        <v>1890</v>
      </c>
      <c r="K514" s="9">
        <f t="array" ref="K514">QUARTILE(IF($F$3:$F$1460=$F514,$H$3:$H$1460),1)</f>
        <v>279</v>
      </c>
      <c r="L514" s="9">
        <f t="array" ref="L514">QUARTILE(IF($F$3:$F$1460=$F514,$H$3:$H$1460),2)</f>
        <v>358.2</v>
      </c>
      <c r="M514" s="9">
        <f t="array" ref="M514">QUARTILE(IF($F$3:$F$1460=$F514,$H$3:$H$1460),3)</f>
        <v>705</v>
      </c>
    </row>
    <row r="515" spans="1:13" x14ac:dyDescent="0.25">
      <c r="A515" s="7">
        <v>515</v>
      </c>
      <c r="B515" s="6" t="s">
        <v>97</v>
      </c>
      <c r="C515" s="7">
        <v>5359822</v>
      </c>
      <c r="D515" s="23" t="s">
        <v>318</v>
      </c>
      <c r="E515" s="6" t="s">
        <v>319</v>
      </c>
      <c r="F515" s="21" t="s">
        <v>31</v>
      </c>
      <c r="G515" s="6" t="s">
        <v>449</v>
      </c>
      <c r="H515" s="22">
        <v>19.8</v>
      </c>
      <c r="I515" s="9">
        <v>7</v>
      </c>
      <c r="J515" s="22">
        <f t="shared" si="5"/>
        <v>138.6</v>
      </c>
      <c r="K515" s="9">
        <f t="array" ref="K515">QUARTILE(IF($F$3:$F$1460=$F515,$H$3:$H$1460),1)</f>
        <v>55.5</v>
      </c>
      <c r="L515" s="9">
        <f t="array" ref="L515">QUARTILE(IF($F$3:$F$1460=$F515,$H$3:$H$1460),2)</f>
        <v>91.88</v>
      </c>
      <c r="M515" s="9">
        <f t="array" ref="M515">QUARTILE(IF($F$3:$F$1460=$F515,$H$3:$H$1460),3)</f>
        <v>148.36000000000001</v>
      </c>
    </row>
    <row r="516" spans="1:13" x14ac:dyDescent="0.25">
      <c r="A516" s="7">
        <v>516</v>
      </c>
      <c r="B516" s="6" t="s">
        <v>97</v>
      </c>
      <c r="C516" s="7">
        <v>5359822</v>
      </c>
      <c r="D516" s="23" t="s">
        <v>318</v>
      </c>
      <c r="E516" s="6" t="s">
        <v>319</v>
      </c>
      <c r="F516" s="21" t="s">
        <v>31</v>
      </c>
      <c r="G516" s="6" t="s">
        <v>450</v>
      </c>
      <c r="H516" s="22">
        <v>23.15</v>
      </c>
      <c r="I516" s="9">
        <v>7</v>
      </c>
      <c r="J516" s="22">
        <f t="shared" si="5"/>
        <v>162.04999999999998</v>
      </c>
      <c r="K516" s="9">
        <f t="array" ref="K516">QUARTILE(IF($F$3:$F$1460=$F516,$H$3:$H$1460),1)</f>
        <v>55.5</v>
      </c>
      <c r="L516" s="9">
        <f t="array" ref="L516">QUARTILE(IF($F$3:$F$1460=$F516,$H$3:$H$1460),2)</f>
        <v>91.88</v>
      </c>
      <c r="M516" s="9">
        <f t="array" ref="M516">QUARTILE(IF($F$3:$F$1460=$F516,$H$3:$H$1460),3)</f>
        <v>148.36000000000001</v>
      </c>
    </row>
    <row r="517" spans="1:13" x14ac:dyDescent="0.25">
      <c r="A517" s="7">
        <v>517</v>
      </c>
      <c r="B517" s="6" t="s">
        <v>97</v>
      </c>
      <c r="C517" s="7">
        <v>5359822</v>
      </c>
      <c r="D517" s="23" t="s">
        <v>318</v>
      </c>
      <c r="E517" s="6" t="s">
        <v>319</v>
      </c>
      <c r="F517" s="21" t="s">
        <v>31</v>
      </c>
      <c r="G517" s="6" t="s">
        <v>451</v>
      </c>
      <c r="H517" s="22">
        <v>36.5</v>
      </c>
      <c r="I517" s="9">
        <v>25</v>
      </c>
      <c r="J517" s="22">
        <f t="shared" si="5"/>
        <v>912.5</v>
      </c>
      <c r="K517" s="9">
        <f t="array" ref="K517">QUARTILE(IF($F$3:$F$1460=$F517,$H$3:$H$1460),1)</f>
        <v>55.5</v>
      </c>
      <c r="L517" s="9">
        <f t="array" ref="L517">QUARTILE(IF($F$3:$F$1460=$F517,$H$3:$H$1460),2)</f>
        <v>91.88</v>
      </c>
      <c r="M517" s="9">
        <f t="array" ref="M517">QUARTILE(IF($F$3:$F$1460=$F517,$H$3:$H$1460),3)</f>
        <v>148.36000000000001</v>
      </c>
    </row>
    <row r="518" spans="1:13" x14ac:dyDescent="0.25">
      <c r="A518" s="7">
        <v>518</v>
      </c>
      <c r="B518" s="6" t="s">
        <v>97</v>
      </c>
      <c r="C518" s="7">
        <v>5359822</v>
      </c>
      <c r="D518" s="23" t="s">
        <v>318</v>
      </c>
      <c r="E518" s="6" t="s">
        <v>319</v>
      </c>
      <c r="F518" s="21" t="s">
        <v>31</v>
      </c>
      <c r="G518" s="6" t="s">
        <v>452</v>
      </c>
      <c r="H518" s="22">
        <v>35.5</v>
      </c>
      <c r="I518" s="9">
        <v>25</v>
      </c>
      <c r="J518" s="22">
        <f t="shared" si="5"/>
        <v>887.5</v>
      </c>
      <c r="K518" s="9">
        <f t="array" ref="K518">QUARTILE(IF($F$3:$F$1460=$F518,$H$3:$H$1460),1)</f>
        <v>55.5</v>
      </c>
      <c r="L518" s="9">
        <f t="array" ref="L518">QUARTILE(IF($F$3:$F$1460=$F518,$H$3:$H$1460),2)</f>
        <v>91.88</v>
      </c>
      <c r="M518" s="9">
        <f t="array" ref="M518">QUARTILE(IF($F$3:$F$1460=$F518,$H$3:$H$1460),3)</f>
        <v>148.36000000000001</v>
      </c>
    </row>
    <row r="519" spans="1:13" x14ac:dyDescent="0.25">
      <c r="A519" s="7">
        <v>519</v>
      </c>
      <c r="B519" s="6" t="s">
        <v>97</v>
      </c>
      <c r="C519" s="7">
        <v>5359822</v>
      </c>
      <c r="D519" s="23" t="s">
        <v>318</v>
      </c>
      <c r="E519" s="6" t="s">
        <v>319</v>
      </c>
      <c r="F519" s="21" t="s">
        <v>31</v>
      </c>
      <c r="G519" s="6" t="s">
        <v>453</v>
      </c>
      <c r="H519" s="22">
        <v>30.9</v>
      </c>
      <c r="I519" s="9">
        <v>25</v>
      </c>
      <c r="J519" s="22">
        <f t="shared" si="5"/>
        <v>772.5</v>
      </c>
      <c r="K519" s="9">
        <f t="array" ref="K519">QUARTILE(IF($F$3:$F$1460=$F519,$H$3:$H$1460),1)</f>
        <v>55.5</v>
      </c>
      <c r="L519" s="9">
        <f t="array" ref="L519">QUARTILE(IF($F$3:$F$1460=$F519,$H$3:$H$1460),2)</f>
        <v>91.88</v>
      </c>
      <c r="M519" s="9">
        <f t="array" ref="M519">QUARTILE(IF($F$3:$F$1460=$F519,$H$3:$H$1460),3)</f>
        <v>148.36000000000001</v>
      </c>
    </row>
    <row r="520" spans="1:13" x14ac:dyDescent="0.25">
      <c r="A520" s="7">
        <v>520</v>
      </c>
      <c r="B520" s="6" t="s">
        <v>97</v>
      </c>
      <c r="C520" s="7">
        <v>5359822</v>
      </c>
      <c r="D520" s="23" t="s">
        <v>318</v>
      </c>
      <c r="E520" s="6" t="s">
        <v>319</v>
      </c>
      <c r="F520" s="21" t="s">
        <v>31</v>
      </c>
      <c r="G520" s="6" t="s">
        <v>454</v>
      </c>
      <c r="H520" s="22">
        <v>69</v>
      </c>
      <c r="I520" s="9">
        <v>25</v>
      </c>
      <c r="J520" s="22">
        <f t="shared" si="5"/>
        <v>1725</v>
      </c>
      <c r="K520" s="9">
        <f t="array" ref="K520">QUARTILE(IF($F$3:$F$1460=$F520,$H$3:$H$1460),1)</f>
        <v>55.5</v>
      </c>
      <c r="L520" s="9">
        <f t="array" ref="L520">QUARTILE(IF($F$3:$F$1460=$F520,$H$3:$H$1460),2)</f>
        <v>91.88</v>
      </c>
      <c r="M520" s="9">
        <f t="array" ref="M520">QUARTILE(IF($F$3:$F$1460=$F520,$H$3:$H$1460),3)</f>
        <v>148.36000000000001</v>
      </c>
    </row>
    <row r="521" spans="1:13" x14ac:dyDescent="0.25">
      <c r="A521" s="7">
        <v>521</v>
      </c>
      <c r="B521" s="6" t="s">
        <v>97</v>
      </c>
      <c r="C521" s="7">
        <v>5359822</v>
      </c>
      <c r="D521" s="23" t="s">
        <v>318</v>
      </c>
      <c r="E521" s="6" t="s">
        <v>319</v>
      </c>
      <c r="F521" s="21" t="s">
        <v>31</v>
      </c>
      <c r="G521" s="6" t="s">
        <v>455</v>
      </c>
      <c r="H521" s="22">
        <v>57</v>
      </c>
      <c r="I521" s="9">
        <v>15</v>
      </c>
      <c r="J521" s="22">
        <f t="shared" si="5"/>
        <v>855</v>
      </c>
      <c r="K521" s="9">
        <f t="array" ref="K521">QUARTILE(IF($F$3:$F$1460=$F521,$H$3:$H$1460),1)</f>
        <v>55.5</v>
      </c>
      <c r="L521" s="9">
        <f t="array" ref="L521">QUARTILE(IF($F$3:$F$1460=$F521,$H$3:$H$1460),2)</f>
        <v>91.88</v>
      </c>
      <c r="M521" s="9">
        <f t="array" ref="M521">QUARTILE(IF($F$3:$F$1460=$F521,$H$3:$H$1460),3)</f>
        <v>148.36000000000001</v>
      </c>
    </row>
    <row r="522" spans="1:13" x14ac:dyDescent="0.25">
      <c r="A522" s="7">
        <v>522</v>
      </c>
      <c r="B522" s="6" t="s">
        <v>97</v>
      </c>
      <c r="C522" s="7">
        <v>5359822</v>
      </c>
      <c r="D522" s="23" t="s">
        <v>318</v>
      </c>
      <c r="E522" s="6" t="s">
        <v>319</v>
      </c>
      <c r="F522" s="21" t="s">
        <v>31</v>
      </c>
      <c r="G522" s="6" t="s">
        <v>456</v>
      </c>
      <c r="H522" s="22">
        <v>59</v>
      </c>
      <c r="I522" s="9">
        <v>15</v>
      </c>
      <c r="J522" s="22">
        <f t="shared" si="5"/>
        <v>885</v>
      </c>
      <c r="K522" s="9">
        <f t="array" ref="K522">QUARTILE(IF($F$3:$F$1460=$F522,$H$3:$H$1460),1)</f>
        <v>55.5</v>
      </c>
      <c r="L522" s="9">
        <f t="array" ref="L522">QUARTILE(IF($F$3:$F$1460=$F522,$H$3:$H$1460),2)</f>
        <v>91.88</v>
      </c>
      <c r="M522" s="9">
        <f t="array" ref="M522">QUARTILE(IF($F$3:$F$1460=$F522,$H$3:$H$1460),3)</f>
        <v>148.36000000000001</v>
      </c>
    </row>
    <row r="523" spans="1:13" x14ac:dyDescent="0.25">
      <c r="A523" s="7">
        <v>523</v>
      </c>
      <c r="B523" s="6" t="s">
        <v>97</v>
      </c>
      <c r="C523" s="7">
        <v>5359822</v>
      </c>
      <c r="D523" s="23" t="s">
        <v>318</v>
      </c>
      <c r="E523" s="6" t="s">
        <v>319</v>
      </c>
      <c r="F523" s="21" t="s">
        <v>31</v>
      </c>
      <c r="G523" s="6" t="s">
        <v>457</v>
      </c>
      <c r="H523" s="22">
        <v>65</v>
      </c>
      <c r="I523" s="9">
        <v>15</v>
      </c>
      <c r="J523" s="22">
        <f t="shared" si="5"/>
        <v>975</v>
      </c>
      <c r="K523" s="9">
        <f t="array" ref="K523">QUARTILE(IF($F$3:$F$1460=$F523,$H$3:$H$1460),1)</f>
        <v>55.5</v>
      </c>
      <c r="L523" s="9">
        <f t="array" ref="L523">QUARTILE(IF($F$3:$F$1460=$F523,$H$3:$H$1460),2)</f>
        <v>91.88</v>
      </c>
      <c r="M523" s="9">
        <f t="array" ref="M523">QUARTILE(IF($F$3:$F$1460=$F523,$H$3:$H$1460),3)</f>
        <v>148.36000000000001</v>
      </c>
    </row>
    <row r="524" spans="1:13" x14ac:dyDescent="0.25">
      <c r="A524" s="7">
        <v>524</v>
      </c>
      <c r="B524" s="6" t="s">
        <v>97</v>
      </c>
      <c r="C524" s="7">
        <v>5359822</v>
      </c>
      <c r="D524" s="23" t="s">
        <v>318</v>
      </c>
      <c r="E524" s="6" t="s">
        <v>319</v>
      </c>
      <c r="F524" s="21" t="s">
        <v>31</v>
      </c>
      <c r="G524" s="6" t="s">
        <v>458</v>
      </c>
      <c r="H524" s="22">
        <v>89</v>
      </c>
      <c r="I524" s="9">
        <v>15</v>
      </c>
      <c r="J524" s="22">
        <f t="shared" si="5"/>
        <v>1335</v>
      </c>
      <c r="K524" s="9">
        <f t="array" ref="K524">QUARTILE(IF($F$3:$F$1460=$F524,$H$3:$H$1460),1)</f>
        <v>55.5</v>
      </c>
      <c r="L524" s="9">
        <f t="array" ref="L524">QUARTILE(IF($F$3:$F$1460=$F524,$H$3:$H$1460),2)</f>
        <v>91.88</v>
      </c>
      <c r="M524" s="9">
        <f t="array" ref="M524">QUARTILE(IF($F$3:$F$1460=$F524,$H$3:$H$1460),3)</f>
        <v>148.36000000000001</v>
      </c>
    </row>
    <row r="525" spans="1:13" x14ac:dyDescent="0.25">
      <c r="A525" s="7">
        <v>525</v>
      </c>
      <c r="B525" s="6" t="s">
        <v>97</v>
      </c>
      <c r="C525" s="7">
        <v>5359822</v>
      </c>
      <c r="D525" s="23" t="s">
        <v>318</v>
      </c>
      <c r="E525" s="6" t="s">
        <v>319</v>
      </c>
      <c r="F525" s="21" t="s">
        <v>31</v>
      </c>
      <c r="G525" s="6" t="s">
        <v>459</v>
      </c>
      <c r="H525" s="22">
        <v>49</v>
      </c>
      <c r="I525" s="9">
        <v>15</v>
      </c>
      <c r="J525" s="22">
        <f t="shared" si="5"/>
        <v>735</v>
      </c>
      <c r="K525" s="9">
        <f t="array" ref="K525">QUARTILE(IF($F$3:$F$1460=$F525,$H$3:$H$1460),1)</f>
        <v>55.5</v>
      </c>
      <c r="L525" s="9">
        <f t="array" ref="L525">QUARTILE(IF($F$3:$F$1460=$F525,$H$3:$H$1460),2)</f>
        <v>91.88</v>
      </c>
      <c r="M525" s="9">
        <f t="array" ref="M525">QUARTILE(IF($F$3:$F$1460=$F525,$H$3:$H$1460),3)</f>
        <v>148.36000000000001</v>
      </c>
    </row>
    <row r="526" spans="1:13" x14ac:dyDescent="0.25">
      <c r="A526" s="7">
        <v>526</v>
      </c>
      <c r="B526" s="6" t="s">
        <v>97</v>
      </c>
      <c r="C526" s="7">
        <v>5359822</v>
      </c>
      <c r="D526" s="23" t="s">
        <v>318</v>
      </c>
      <c r="E526" s="6" t="s">
        <v>319</v>
      </c>
      <c r="F526" s="21" t="s">
        <v>31</v>
      </c>
      <c r="G526" s="6" t="s">
        <v>460</v>
      </c>
      <c r="H526" s="22">
        <v>115</v>
      </c>
      <c r="I526" s="9">
        <v>15</v>
      </c>
      <c r="J526" s="22">
        <f t="shared" si="5"/>
        <v>1725</v>
      </c>
      <c r="K526" s="9">
        <f t="array" ref="K526">QUARTILE(IF($F$3:$F$1460=$F526,$H$3:$H$1460),1)</f>
        <v>55.5</v>
      </c>
      <c r="L526" s="9">
        <f t="array" ref="L526">QUARTILE(IF($F$3:$F$1460=$F526,$H$3:$H$1460),2)</f>
        <v>91.88</v>
      </c>
      <c r="M526" s="9">
        <f t="array" ref="M526">QUARTILE(IF($F$3:$F$1460=$F526,$H$3:$H$1460),3)</f>
        <v>148.36000000000001</v>
      </c>
    </row>
    <row r="527" spans="1:13" x14ac:dyDescent="0.25">
      <c r="A527" s="7">
        <v>527</v>
      </c>
      <c r="B527" s="6" t="s">
        <v>97</v>
      </c>
      <c r="C527" s="7">
        <v>5359822</v>
      </c>
      <c r="D527" s="23" t="s">
        <v>318</v>
      </c>
      <c r="E527" s="6" t="s">
        <v>319</v>
      </c>
      <c r="F527" s="21" t="s">
        <v>31</v>
      </c>
      <c r="G527" s="6" t="s">
        <v>461</v>
      </c>
      <c r="H527" s="22">
        <v>102</v>
      </c>
      <c r="I527" s="9">
        <v>15</v>
      </c>
      <c r="J527" s="22">
        <f t="shared" si="5"/>
        <v>1530</v>
      </c>
      <c r="K527" s="9">
        <f t="array" ref="K527">QUARTILE(IF($F$3:$F$1460=$F527,$H$3:$H$1460),1)</f>
        <v>55.5</v>
      </c>
      <c r="L527" s="9">
        <f t="array" ref="L527">QUARTILE(IF($F$3:$F$1460=$F527,$H$3:$H$1460),2)</f>
        <v>91.88</v>
      </c>
      <c r="M527" s="9">
        <f t="array" ref="M527">QUARTILE(IF($F$3:$F$1460=$F527,$H$3:$H$1460),3)</f>
        <v>148.36000000000001</v>
      </c>
    </row>
    <row r="528" spans="1:13" x14ac:dyDescent="0.25">
      <c r="A528" s="7">
        <v>528</v>
      </c>
      <c r="B528" s="6" t="s">
        <v>97</v>
      </c>
      <c r="C528" s="7">
        <v>5359822</v>
      </c>
      <c r="D528" s="23" t="s">
        <v>318</v>
      </c>
      <c r="E528" s="6" t="s">
        <v>319</v>
      </c>
      <c r="F528" s="21" t="s">
        <v>31</v>
      </c>
      <c r="G528" s="6" t="s">
        <v>462</v>
      </c>
      <c r="H528" s="22">
        <v>98</v>
      </c>
      <c r="I528" s="9">
        <v>15</v>
      </c>
      <c r="J528" s="22">
        <f t="shared" si="5"/>
        <v>1470</v>
      </c>
      <c r="K528" s="9">
        <f t="array" ref="K528">QUARTILE(IF($F$3:$F$1460=$F528,$H$3:$H$1460),1)</f>
        <v>55.5</v>
      </c>
      <c r="L528" s="9">
        <f t="array" ref="L528">QUARTILE(IF($F$3:$F$1460=$F528,$H$3:$H$1460),2)</f>
        <v>91.88</v>
      </c>
      <c r="M528" s="9">
        <f t="array" ref="M528">QUARTILE(IF($F$3:$F$1460=$F528,$H$3:$H$1460),3)</f>
        <v>148.36000000000001</v>
      </c>
    </row>
    <row r="529" spans="1:13" x14ac:dyDescent="0.25">
      <c r="A529" s="7">
        <v>529</v>
      </c>
      <c r="B529" s="6" t="s">
        <v>97</v>
      </c>
      <c r="C529" s="7">
        <v>5359822</v>
      </c>
      <c r="D529" s="23" t="s">
        <v>318</v>
      </c>
      <c r="E529" s="6" t="s">
        <v>319</v>
      </c>
      <c r="F529" s="21" t="s">
        <v>31</v>
      </c>
      <c r="G529" s="6" t="s">
        <v>463</v>
      </c>
      <c r="H529" s="22">
        <v>84</v>
      </c>
      <c r="I529" s="9">
        <v>15</v>
      </c>
      <c r="J529" s="22">
        <f t="shared" si="5"/>
        <v>1260</v>
      </c>
      <c r="K529" s="9">
        <f t="array" ref="K529">QUARTILE(IF($F$3:$F$1460=$F529,$H$3:$H$1460),1)</f>
        <v>55.5</v>
      </c>
      <c r="L529" s="9">
        <f t="array" ref="L529">QUARTILE(IF($F$3:$F$1460=$F529,$H$3:$H$1460),2)</f>
        <v>91.88</v>
      </c>
      <c r="M529" s="9">
        <f t="array" ref="M529">QUARTILE(IF($F$3:$F$1460=$F529,$H$3:$H$1460),3)</f>
        <v>148.36000000000001</v>
      </c>
    </row>
    <row r="530" spans="1:13" x14ac:dyDescent="0.25">
      <c r="A530" s="7">
        <v>530</v>
      </c>
      <c r="B530" s="6" t="s">
        <v>97</v>
      </c>
      <c r="C530" s="7">
        <v>5359822</v>
      </c>
      <c r="D530" s="23" t="s">
        <v>318</v>
      </c>
      <c r="E530" s="6" t="s">
        <v>319</v>
      </c>
      <c r="F530" s="21" t="s">
        <v>31</v>
      </c>
      <c r="G530" s="6" t="s">
        <v>464</v>
      </c>
      <c r="H530" s="22">
        <v>37</v>
      </c>
      <c r="I530" s="9">
        <v>8</v>
      </c>
      <c r="J530" s="22">
        <f t="shared" si="5"/>
        <v>296</v>
      </c>
      <c r="K530" s="9">
        <f t="array" ref="K530">QUARTILE(IF($F$3:$F$1460=$F530,$H$3:$H$1460),1)</f>
        <v>55.5</v>
      </c>
      <c r="L530" s="9">
        <f t="array" ref="L530">QUARTILE(IF($F$3:$F$1460=$F530,$H$3:$H$1460),2)</f>
        <v>91.88</v>
      </c>
      <c r="M530" s="9">
        <f t="array" ref="M530">QUARTILE(IF($F$3:$F$1460=$F530,$H$3:$H$1460),3)</f>
        <v>148.36000000000001</v>
      </c>
    </row>
    <row r="531" spans="1:13" x14ac:dyDescent="0.25">
      <c r="A531" s="7">
        <v>531</v>
      </c>
      <c r="B531" s="6" t="s">
        <v>97</v>
      </c>
      <c r="C531" s="7">
        <v>5359822</v>
      </c>
      <c r="D531" s="23" t="s">
        <v>318</v>
      </c>
      <c r="E531" s="6" t="s">
        <v>319</v>
      </c>
      <c r="F531" s="21" t="s">
        <v>31</v>
      </c>
      <c r="G531" s="6" t="s">
        <v>465</v>
      </c>
      <c r="H531" s="22">
        <v>30</v>
      </c>
      <c r="I531" s="9">
        <v>8</v>
      </c>
      <c r="J531" s="22">
        <f t="shared" si="5"/>
        <v>240</v>
      </c>
      <c r="K531" s="9">
        <f t="array" ref="K531">QUARTILE(IF($F$3:$F$1460=$F531,$H$3:$H$1460),1)</f>
        <v>55.5</v>
      </c>
      <c r="L531" s="9">
        <f t="array" ref="L531">QUARTILE(IF($F$3:$F$1460=$F531,$H$3:$H$1460),2)</f>
        <v>91.88</v>
      </c>
      <c r="M531" s="9">
        <f t="array" ref="M531">QUARTILE(IF($F$3:$F$1460=$F531,$H$3:$H$1460),3)</f>
        <v>148.36000000000001</v>
      </c>
    </row>
    <row r="532" spans="1:13" x14ac:dyDescent="0.25">
      <c r="A532" s="7">
        <v>532</v>
      </c>
      <c r="B532" s="6" t="s">
        <v>97</v>
      </c>
      <c r="C532" s="7">
        <v>5359822</v>
      </c>
      <c r="D532" s="23" t="s">
        <v>318</v>
      </c>
      <c r="E532" s="6" t="s">
        <v>319</v>
      </c>
      <c r="F532" s="21" t="s">
        <v>31</v>
      </c>
      <c r="G532" s="6" t="s">
        <v>466</v>
      </c>
      <c r="H532" s="22">
        <v>59</v>
      </c>
      <c r="I532" s="9">
        <v>8</v>
      </c>
      <c r="J532" s="22">
        <f t="shared" ref="J532:J595" si="6">I532*H532</f>
        <v>472</v>
      </c>
      <c r="K532" s="9">
        <f t="array" ref="K532">QUARTILE(IF($F$3:$F$1460=$F532,$H$3:$H$1460),1)</f>
        <v>55.5</v>
      </c>
      <c r="L532" s="9">
        <f t="array" ref="L532">QUARTILE(IF($F$3:$F$1460=$F532,$H$3:$H$1460),2)</f>
        <v>91.88</v>
      </c>
      <c r="M532" s="9">
        <f t="array" ref="M532">QUARTILE(IF($F$3:$F$1460=$F532,$H$3:$H$1460),3)</f>
        <v>148.36000000000001</v>
      </c>
    </row>
    <row r="533" spans="1:13" x14ac:dyDescent="0.25">
      <c r="A533" s="7">
        <v>533</v>
      </c>
      <c r="B533" s="6" t="s">
        <v>97</v>
      </c>
      <c r="C533" s="7">
        <v>5359822</v>
      </c>
      <c r="D533" s="23" t="s">
        <v>318</v>
      </c>
      <c r="E533" s="6" t="s">
        <v>319</v>
      </c>
      <c r="F533" s="21" t="s">
        <v>31</v>
      </c>
      <c r="G533" s="6" t="s">
        <v>467</v>
      </c>
      <c r="H533" s="22">
        <v>39</v>
      </c>
      <c r="I533" s="9">
        <v>8</v>
      </c>
      <c r="J533" s="22">
        <f t="shared" si="6"/>
        <v>312</v>
      </c>
      <c r="K533" s="9">
        <f t="array" ref="K533">QUARTILE(IF($F$3:$F$1460=$F533,$H$3:$H$1460),1)</f>
        <v>55.5</v>
      </c>
      <c r="L533" s="9">
        <f t="array" ref="L533">QUARTILE(IF($F$3:$F$1460=$F533,$H$3:$H$1460),2)</f>
        <v>91.88</v>
      </c>
      <c r="M533" s="9">
        <f t="array" ref="M533">QUARTILE(IF($F$3:$F$1460=$F533,$H$3:$H$1460),3)</f>
        <v>148.36000000000001</v>
      </c>
    </row>
    <row r="534" spans="1:13" x14ac:dyDescent="0.25">
      <c r="A534" s="7">
        <v>534</v>
      </c>
      <c r="B534" s="6" t="s">
        <v>97</v>
      </c>
      <c r="C534" s="7">
        <v>5359822</v>
      </c>
      <c r="D534" s="23" t="s">
        <v>318</v>
      </c>
      <c r="E534" s="6" t="s">
        <v>319</v>
      </c>
      <c r="F534" s="21" t="s">
        <v>31</v>
      </c>
      <c r="G534" s="6" t="s">
        <v>468</v>
      </c>
      <c r="H534" s="22">
        <v>34</v>
      </c>
      <c r="I534" s="9">
        <v>10</v>
      </c>
      <c r="J534" s="22">
        <f t="shared" si="6"/>
        <v>340</v>
      </c>
      <c r="K534" s="9">
        <f t="array" ref="K534">QUARTILE(IF($F$3:$F$1460=$F534,$H$3:$H$1460),1)</f>
        <v>55.5</v>
      </c>
      <c r="L534" s="9">
        <f t="array" ref="L534">QUARTILE(IF($F$3:$F$1460=$F534,$H$3:$H$1460),2)</f>
        <v>91.88</v>
      </c>
      <c r="M534" s="9">
        <f t="array" ref="M534">QUARTILE(IF($F$3:$F$1460=$F534,$H$3:$H$1460),3)</f>
        <v>148.36000000000001</v>
      </c>
    </row>
    <row r="535" spans="1:13" x14ac:dyDescent="0.25">
      <c r="A535" s="7">
        <v>535</v>
      </c>
      <c r="B535" s="6" t="s">
        <v>97</v>
      </c>
      <c r="C535" s="7">
        <v>5359822</v>
      </c>
      <c r="D535" s="23" t="s">
        <v>318</v>
      </c>
      <c r="E535" s="6" t="s">
        <v>319</v>
      </c>
      <c r="F535" s="21" t="s">
        <v>31</v>
      </c>
      <c r="G535" s="6" t="s">
        <v>469</v>
      </c>
      <c r="H535" s="22">
        <v>38.5</v>
      </c>
      <c r="I535" s="9">
        <v>10</v>
      </c>
      <c r="J535" s="22">
        <f t="shared" si="6"/>
        <v>385</v>
      </c>
      <c r="K535" s="9">
        <f t="array" ref="K535">QUARTILE(IF($F$3:$F$1460=$F535,$H$3:$H$1460),1)</f>
        <v>55.5</v>
      </c>
      <c r="L535" s="9">
        <f t="array" ref="L535">QUARTILE(IF($F$3:$F$1460=$F535,$H$3:$H$1460),2)</f>
        <v>91.88</v>
      </c>
      <c r="M535" s="9">
        <f t="array" ref="M535">QUARTILE(IF($F$3:$F$1460=$F535,$H$3:$H$1460),3)</f>
        <v>148.36000000000001</v>
      </c>
    </row>
    <row r="536" spans="1:13" x14ac:dyDescent="0.25">
      <c r="A536" s="7">
        <v>536</v>
      </c>
      <c r="B536" s="6" t="s">
        <v>97</v>
      </c>
      <c r="C536" s="7">
        <v>5359822</v>
      </c>
      <c r="D536" s="23" t="s">
        <v>318</v>
      </c>
      <c r="E536" s="6" t="s">
        <v>319</v>
      </c>
      <c r="F536" s="21" t="s">
        <v>31</v>
      </c>
      <c r="G536" s="6" t="s">
        <v>470</v>
      </c>
      <c r="H536" s="22">
        <v>38</v>
      </c>
      <c r="I536" s="9">
        <v>10</v>
      </c>
      <c r="J536" s="22">
        <f t="shared" si="6"/>
        <v>380</v>
      </c>
      <c r="K536" s="9">
        <f t="array" ref="K536">QUARTILE(IF($F$3:$F$1460=$F536,$H$3:$H$1460),1)</f>
        <v>55.5</v>
      </c>
      <c r="L536" s="9">
        <f t="array" ref="L536">QUARTILE(IF($F$3:$F$1460=$F536,$H$3:$H$1460),2)</f>
        <v>91.88</v>
      </c>
      <c r="M536" s="9">
        <f t="array" ref="M536">QUARTILE(IF($F$3:$F$1460=$F536,$H$3:$H$1460),3)</f>
        <v>148.36000000000001</v>
      </c>
    </row>
    <row r="537" spans="1:13" x14ac:dyDescent="0.25">
      <c r="A537" s="7">
        <v>537</v>
      </c>
      <c r="B537" s="6" t="s">
        <v>97</v>
      </c>
      <c r="C537" s="7">
        <v>5359822</v>
      </c>
      <c r="D537" s="23" t="s">
        <v>318</v>
      </c>
      <c r="E537" s="6" t="s">
        <v>319</v>
      </c>
      <c r="F537" s="21" t="s">
        <v>31</v>
      </c>
      <c r="G537" s="6" t="s">
        <v>471</v>
      </c>
      <c r="H537" s="22">
        <v>37</v>
      </c>
      <c r="I537" s="9">
        <v>10</v>
      </c>
      <c r="J537" s="22">
        <f t="shared" si="6"/>
        <v>370</v>
      </c>
      <c r="K537" s="9">
        <f t="array" ref="K537">QUARTILE(IF($F$3:$F$1460=$F537,$H$3:$H$1460),1)</f>
        <v>55.5</v>
      </c>
      <c r="L537" s="9">
        <f t="array" ref="L537">QUARTILE(IF($F$3:$F$1460=$F537,$H$3:$H$1460),2)</f>
        <v>91.88</v>
      </c>
      <c r="M537" s="9">
        <f t="array" ref="M537">QUARTILE(IF($F$3:$F$1460=$F537,$H$3:$H$1460),3)</f>
        <v>148.36000000000001</v>
      </c>
    </row>
    <row r="538" spans="1:13" x14ac:dyDescent="0.25">
      <c r="A538" s="7">
        <v>538</v>
      </c>
      <c r="B538" s="6" t="s">
        <v>97</v>
      </c>
      <c r="C538" s="7">
        <v>5359822</v>
      </c>
      <c r="D538" s="23" t="s">
        <v>318</v>
      </c>
      <c r="E538" s="6" t="s">
        <v>319</v>
      </c>
      <c r="F538" s="21" t="s">
        <v>31</v>
      </c>
      <c r="G538" s="6" t="s">
        <v>472</v>
      </c>
      <c r="H538" s="22">
        <v>62</v>
      </c>
      <c r="I538" s="9">
        <v>5</v>
      </c>
      <c r="J538" s="22">
        <f t="shared" si="6"/>
        <v>310</v>
      </c>
      <c r="K538" s="9">
        <f t="array" ref="K538">QUARTILE(IF($F$3:$F$1460=$F538,$H$3:$H$1460),1)</f>
        <v>55.5</v>
      </c>
      <c r="L538" s="9">
        <f t="array" ref="L538">QUARTILE(IF($F$3:$F$1460=$F538,$H$3:$H$1460),2)</f>
        <v>91.88</v>
      </c>
      <c r="M538" s="9">
        <f t="array" ref="M538">QUARTILE(IF($F$3:$F$1460=$F538,$H$3:$H$1460),3)</f>
        <v>148.36000000000001</v>
      </c>
    </row>
    <row r="539" spans="1:13" x14ac:dyDescent="0.25">
      <c r="A539" s="7">
        <v>539</v>
      </c>
      <c r="B539" s="6" t="s">
        <v>97</v>
      </c>
      <c r="C539" s="7">
        <v>5359822</v>
      </c>
      <c r="D539" s="23" t="s">
        <v>318</v>
      </c>
      <c r="E539" s="6" t="s">
        <v>319</v>
      </c>
      <c r="F539" s="21" t="s">
        <v>31</v>
      </c>
      <c r="G539" s="6" t="s">
        <v>473</v>
      </c>
      <c r="H539" s="22">
        <v>54.5</v>
      </c>
      <c r="I539" s="9">
        <v>5</v>
      </c>
      <c r="J539" s="22">
        <f t="shared" si="6"/>
        <v>272.5</v>
      </c>
      <c r="K539" s="9">
        <f t="array" ref="K539">QUARTILE(IF($F$3:$F$1460=$F539,$H$3:$H$1460),1)</f>
        <v>55.5</v>
      </c>
      <c r="L539" s="9">
        <f t="array" ref="L539">QUARTILE(IF($F$3:$F$1460=$F539,$H$3:$H$1460),2)</f>
        <v>91.88</v>
      </c>
      <c r="M539" s="9">
        <f t="array" ref="M539">QUARTILE(IF($F$3:$F$1460=$F539,$H$3:$H$1460),3)</f>
        <v>148.36000000000001</v>
      </c>
    </row>
    <row r="540" spans="1:13" x14ac:dyDescent="0.25">
      <c r="A540" s="7">
        <v>540</v>
      </c>
      <c r="B540" s="6" t="s">
        <v>97</v>
      </c>
      <c r="C540" s="7">
        <v>5359822</v>
      </c>
      <c r="D540" s="23" t="s">
        <v>318</v>
      </c>
      <c r="E540" s="6" t="s">
        <v>319</v>
      </c>
      <c r="F540" s="21" t="s">
        <v>31</v>
      </c>
      <c r="G540" s="6" t="s">
        <v>474</v>
      </c>
      <c r="H540" s="22">
        <v>94</v>
      </c>
      <c r="I540" s="9">
        <v>5</v>
      </c>
      <c r="J540" s="22">
        <f t="shared" si="6"/>
        <v>470</v>
      </c>
      <c r="K540" s="9">
        <f t="array" ref="K540">QUARTILE(IF($F$3:$F$1460=$F540,$H$3:$H$1460),1)</f>
        <v>55.5</v>
      </c>
      <c r="L540" s="9">
        <f t="array" ref="L540">QUARTILE(IF($F$3:$F$1460=$F540,$H$3:$H$1460),2)</f>
        <v>91.88</v>
      </c>
      <c r="M540" s="9">
        <f t="array" ref="M540">QUARTILE(IF($F$3:$F$1460=$F540,$H$3:$H$1460),3)</f>
        <v>148.36000000000001</v>
      </c>
    </row>
    <row r="541" spans="1:13" x14ac:dyDescent="0.25">
      <c r="A541" s="7">
        <v>541</v>
      </c>
      <c r="B541" s="6" t="s">
        <v>97</v>
      </c>
      <c r="C541" s="7">
        <v>5359822</v>
      </c>
      <c r="D541" s="23" t="s">
        <v>318</v>
      </c>
      <c r="E541" s="6" t="s">
        <v>319</v>
      </c>
      <c r="F541" s="21" t="s">
        <v>31</v>
      </c>
      <c r="G541" s="6" t="s">
        <v>475</v>
      </c>
      <c r="H541" s="22">
        <v>53</v>
      </c>
      <c r="I541" s="9">
        <v>5</v>
      </c>
      <c r="J541" s="22">
        <f t="shared" si="6"/>
        <v>265</v>
      </c>
      <c r="K541" s="9">
        <f t="array" ref="K541">QUARTILE(IF($F$3:$F$1460=$F541,$H$3:$H$1460),1)</f>
        <v>55.5</v>
      </c>
      <c r="L541" s="9">
        <f t="array" ref="L541">QUARTILE(IF($F$3:$F$1460=$F541,$H$3:$H$1460),2)</f>
        <v>91.88</v>
      </c>
      <c r="M541" s="9">
        <f t="array" ref="M541">QUARTILE(IF($F$3:$F$1460=$F541,$H$3:$H$1460),3)</f>
        <v>148.36000000000001</v>
      </c>
    </row>
    <row r="542" spans="1:13" x14ac:dyDescent="0.25">
      <c r="A542" s="7">
        <v>542</v>
      </c>
      <c r="B542" s="6" t="s">
        <v>97</v>
      </c>
      <c r="C542" s="7">
        <v>5359822</v>
      </c>
      <c r="D542" s="23" t="s">
        <v>318</v>
      </c>
      <c r="E542" s="6" t="s">
        <v>319</v>
      </c>
      <c r="F542" s="21" t="s">
        <v>31</v>
      </c>
      <c r="G542" s="6" t="s">
        <v>476</v>
      </c>
      <c r="H542" s="22">
        <v>149</v>
      </c>
      <c r="I542" s="9">
        <v>5</v>
      </c>
      <c r="J542" s="22">
        <f t="shared" si="6"/>
        <v>745</v>
      </c>
      <c r="K542" s="9">
        <f t="array" ref="K542">QUARTILE(IF($F$3:$F$1460=$F542,$H$3:$H$1460),1)</f>
        <v>55.5</v>
      </c>
      <c r="L542" s="9">
        <f t="array" ref="L542">QUARTILE(IF($F$3:$F$1460=$F542,$H$3:$H$1460),2)</f>
        <v>91.88</v>
      </c>
      <c r="M542" s="9">
        <f t="array" ref="M542">QUARTILE(IF($F$3:$F$1460=$F542,$H$3:$H$1460),3)</f>
        <v>148.36000000000001</v>
      </c>
    </row>
    <row r="543" spans="1:13" x14ac:dyDescent="0.25">
      <c r="A543" s="7">
        <v>543</v>
      </c>
      <c r="B543" s="6" t="s">
        <v>97</v>
      </c>
      <c r="C543" s="7">
        <v>5359822</v>
      </c>
      <c r="D543" s="23" t="s">
        <v>318</v>
      </c>
      <c r="E543" s="6" t="s">
        <v>319</v>
      </c>
      <c r="F543" s="21" t="s">
        <v>31</v>
      </c>
      <c r="G543" s="6" t="s">
        <v>477</v>
      </c>
      <c r="H543" s="22">
        <v>138</v>
      </c>
      <c r="I543" s="9">
        <v>5</v>
      </c>
      <c r="J543" s="22">
        <f t="shared" si="6"/>
        <v>690</v>
      </c>
      <c r="K543" s="9">
        <f t="array" ref="K543">QUARTILE(IF($F$3:$F$1460=$F543,$H$3:$H$1460),1)</f>
        <v>55.5</v>
      </c>
      <c r="L543" s="9">
        <f t="array" ref="L543">QUARTILE(IF($F$3:$F$1460=$F543,$H$3:$H$1460),2)</f>
        <v>91.88</v>
      </c>
      <c r="M543" s="9">
        <f t="array" ref="M543">QUARTILE(IF($F$3:$F$1460=$F543,$H$3:$H$1460),3)</f>
        <v>148.36000000000001</v>
      </c>
    </row>
    <row r="544" spans="1:13" x14ac:dyDescent="0.25">
      <c r="A544" s="7">
        <v>544</v>
      </c>
      <c r="B544" s="6" t="s">
        <v>97</v>
      </c>
      <c r="C544" s="7">
        <v>5359822</v>
      </c>
      <c r="D544" s="23" t="s">
        <v>318</v>
      </c>
      <c r="E544" s="6" t="s">
        <v>319</v>
      </c>
      <c r="F544" s="21" t="s">
        <v>31</v>
      </c>
      <c r="G544" s="6" t="s">
        <v>478</v>
      </c>
      <c r="H544" s="22">
        <v>265</v>
      </c>
      <c r="I544" s="9">
        <v>5</v>
      </c>
      <c r="J544" s="22">
        <f t="shared" si="6"/>
        <v>1325</v>
      </c>
      <c r="K544" s="9">
        <f t="array" ref="K544">QUARTILE(IF($F$3:$F$1460=$F544,$H$3:$H$1460),1)</f>
        <v>55.5</v>
      </c>
      <c r="L544" s="9">
        <f t="array" ref="L544">QUARTILE(IF($F$3:$F$1460=$F544,$H$3:$H$1460),2)</f>
        <v>91.88</v>
      </c>
      <c r="M544" s="9">
        <f t="array" ref="M544">QUARTILE(IF($F$3:$F$1460=$F544,$H$3:$H$1460),3)</f>
        <v>148.36000000000001</v>
      </c>
    </row>
    <row r="545" spans="1:13" x14ac:dyDescent="0.25">
      <c r="A545" s="7">
        <v>545</v>
      </c>
      <c r="B545" s="6" t="s">
        <v>97</v>
      </c>
      <c r="C545" s="7">
        <v>5359822</v>
      </c>
      <c r="D545" s="23" t="s">
        <v>318</v>
      </c>
      <c r="E545" s="6" t="s">
        <v>319</v>
      </c>
      <c r="F545" s="21" t="s">
        <v>31</v>
      </c>
      <c r="G545" s="6" t="s">
        <v>479</v>
      </c>
      <c r="H545" s="22">
        <v>37.5</v>
      </c>
      <c r="I545" s="9">
        <v>25</v>
      </c>
      <c r="J545" s="22">
        <f t="shared" si="6"/>
        <v>937.5</v>
      </c>
      <c r="K545" s="9">
        <f t="array" ref="K545">QUARTILE(IF($F$3:$F$1460=$F545,$H$3:$H$1460),1)</f>
        <v>55.5</v>
      </c>
      <c r="L545" s="9">
        <f t="array" ref="L545">QUARTILE(IF($F$3:$F$1460=$F545,$H$3:$H$1460),2)</f>
        <v>91.88</v>
      </c>
      <c r="M545" s="9">
        <f t="array" ref="M545">QUARTILE(IF($F$3:$F$1460=$F545,$H$3:$H$1460),3)</f>
        <v>148.36000000000001</v>
      </c>
    </row>
    <row r="546" spans="1:13" x14ac:dyDescent="0.25">
      <c r="A546" s="7">
        <v>546</v>
      </c>
      <c r="B546" s="6" t="s">
        <v>97</v>
      </c>
      <c r="C546" s="7">
        <v>5359822</v>
      </c>
      <c r="D546" s="23" t="s">
        <v>318</v>
      </c>
      <c r="E546" s="6" t="s">
        <v>319</v>
      </c>
      <c r="F546" s="21" t="s">
        <v>31</v>
      </c>
      <c r="G546" s="6" t="s">
        <v>480</v>
      </c>
      <c r="H546" s="22">
        <v>54</v>
      </c>
      <c r="I546" s="9">
        <v>25</v>
      </c>
      <c r="J546" s="22">
        <f t="shared" si="6"/>
        <v>1350</v>
      </c>
      <c r="K546" s="9">
        <f t="array" ref="K546">QUARTILE(IF($F$3:$F$1460=$F546,$H$3:$H$1460),1)</f>
        <v>55.5</v>
      </c>
      <c r="L546" s="9">
        <f t="array" ref="L546">QUARTILE(IF($F$3:$F$1460=$F546,$H$3:$H$1460),2)</f>
        <v>91.88</v>
      </c>
      <c r="M546" s="9">
        <f t="array" ref="M546">QUARTILE(IF($F$3:$F$1460=$F546,$H$3:$H$1460),3)</f>
        <v>148.36000000000001</v>
      </c>
    </row>
    <row r="547" spans="1:13" x14ac:dyDescent="0.25">
      <c r="A547" s="7">
        <v>547</v>
      </c>
      <c r="B547" s="6" t="s">
        <v>97</v>
      </c>
      <c r="C547" s="7">
        <v>5359822</v>
      </c>
      <c r="D547" s="23" t="s">
        <v>318</v>
      </c>
      <c r="E547" s="6" t="s">
        <v>319</v>
      </c>
      <c r="F547" s="21" t="s">
        <v>31</v>
      </c>
      <c r="G547" s="6" t="s">
        <v>481</v>
      </c>
      <c r="H547" s="22">
        <v>44</v>
      </c>
      <c r="I547" s="9">
        <v>26</v>
      </c>
      <c r="J547" s="22">
        <f t="shared" si="6"/>
        <v>1144</v>
      </c>
      <c r="K547" s="9">
        <f t="array" ref="K547">QUARTILE(IF($F$3:$F$1460=$F547,$H$3:$H$1460),1)</f>
        <v>55.5</v>
      </c>
      <c r="L547" s="9">
        <f t="array" ref="L547">QUARTILE(IF($F$3:$F$1460=$F547,$H$3:$H$1460),2)</f>
        <v>91.88</v>
      </c>
      <c r="M547" s="9">
        <f t="array" ref="M547">QUARTILE(IF($F$3:$F$1460=$F547,$H$3:$H$1460),3)</f>
        <v>148.36000000000001</v>
      </c>
    </row>
    <row r="548" spans="1:13" x14ac:dyDescent="0.25">
      <c r="A548" s="7">
        <v>548</v>
      </c>
      <c r="B548" s="6" t="s">
        <v>97</v>
      </c>
      <c r="C548" s="7">
        <v>5359822</v>
      </c>
      <c r="D548" s="23" t="s">
        <v>318</v>
      </c>
      <c r="E548" s="6" t="s">
        <v>319</v>
      </c>
      <c r="F548" s="21" t="s">
        <v>31</v>
      </c>
      <c r="G548" s="6" t="s">
        <v>482</v>
      </c>
      <c r="H548" s="22">
        <v>97.2</v>
      </c>
      <c r="I548" s="9">
        <v>1</v>
      </c>
      <c r="J548" s="22">
        <f t="shared" si="6"/>
        <v>97.2</v>
      </c>
      <c r="K548" s="9">
        <f t="array" ref="K548">QUARTILE(IF($F$3:$F$1460=$F548,$H$3:$H$1460),1)</f>
        <v>55.5</v>
      </c>
      <c r="L548" s="9">
        <f t="array" ref="L548">QUARTILE(IF($F$3:$F$1460=$F548,$H$3:$H$1460),2)</f>
        <v>91.88</v>
      </c>
      <c r="M548" s="9">
        <f t="array" ref="M548">QUARTILE(IF($F$3:$F$1460=$F548,$H$3:$H$1460),3)</f>
        <v>148.36000000000001</v>
      </c>
    </row>
    <row r="549" spans="1:13" x14ac:dyDescent="0.25">
      <c r="A549" s="7">
        <v>549</v>
      </c>
      <c r="B549" s="6" t="s">
        <v>97</v>
      </c>
      <c r="C549" s="7">
        <v>5359822</v>
      </c>
      <c r="D549" s="23" t="s">
        <v>318</v>
      </c>
      <c r="E549" s="6" t="s">
        <v>319</v>
      </c>
      <c r="F549" s="21" t="s">
        <v>31</v>
      </c>
      <c r="G549" s="6" t="s">
        <v>483</v>
      </c>
      <c r="H549" s="22">
        <v>249</v>
      </c>
      <c r="I549" s="9">
        <v>1</v>
      </c>
      <c r="J549" s="22">
        <f t="shared" si="6"/>
        <v>249</v>
      </c>
      <c r="K549" s="9">
        <f t="array" ref="K549">QUARTILE(IF($F$3:$F$1460=$F549,$H$3:$H$1460),1)</f>
        <v>55.5</v>
      </c>
      <c r="L549" s="9">
        <f t="array" ref="L549">QUARTILE(IF($F$3:$F$1460=$F549,$H$3:$H$1460),2)</f>
        <v>91.88</v>
      </c>
      <c r="M549" s="9">
        <f t="array" ref="M549">QUARTILE(IF($F$3:$F$1460=$F549,$H$3:$H$1460),3)</f>
        <v>148.36000000000001</v>
      </c>
    </row>
    <row r="550" spans="1:13" x14ac:dyDescent="0.25">
      <c r="A550" s="7">
        <v>550</v>
      </c>
      <c r="B550" s="6" t="s">
        <v>97</v>
      </c>
      <c r="C550" s="7">
        <v>5359822</v>
      </c>
      <c r="D550" s="23" t="s">
        <v>318</v>
      </c>
      <c r="E550" s="6" t="s">
        <v>319</v>
      </c>
      <c r="F550" s="21" t="s">
        <v>31</v>
      </c>
      <c r="G550" s="6" t="s">
        <v>484</v>
      </c>
      <c r="H550" s="22">
        <v>28.5</v>
      </c>
      <c r="I550" s="9">
        <v>1</v>
      </c>
      <c r="J550" s="22">
        <f t="shared" si="6"/>
        <v>28.5</v>
      </c>
      <c r="K550" s="9">
        <f t="array" ref="K550">QUARTILE(IF($F$3:$F$1460=$F550,$H$3:$H$1460),1)</f>
        <v>55.5</v>
      </c>
      <c r="L550" s="9">
        <f t="array" ref="L550">QUARTILE(IF($F$3:$F$1460=$F550,$H$3:$H$1460),2)</f>
        <v>91.88</v>
      </c>
      <c r="M550" s="9">
        <f t="array" ref="M550">QUARTILE(IF($F$3:$F$1460=$F550,$H$3:$H$1460),3)</f>
        <v>148.36000000000001</v>
      </c>
    </row>
    <row r="551" spans="1:13" x14ac:dyDescent="0.25">
      <c r="A551" s="7">
        <v>551</v>
      </c>
      <c r="B551" s="6" t="s">
        <v>97</v>
      </c>
      <c r="C551" s="7">
        <v>5359822</v>
      </c>
      <c r="D551" s="23" t="s">
        <v>318</v>
      </c>
      <c r="E551" s="6" t="s">
        <v>319</v>
      </c>
      <c r="F551" s="21" t="s">
        <v>31</v>
      </c>
      <c r="G551" s="6" t="s">
        <v>485</v>
      </c>
      <c r="H551" s="22">
        <v>37</v>
      </c>
      <c r="I551" s="9">
        <v>1</v>
      </c>
      <c r="J551" s="22">
        <f t="shared" si="6"/>
        <v>37</v>
      </c>
      <c r="K551" s="9">
        <f t="array" ref="K551">QUARTILE(IF($F$3:$F$1460=$F551,$H$3:$H$1460),1)</f>
        <v>55.5</v>
      </c>
      <c r="L551" s="9">
        <f t="array" ref="L551">QUARTILE(IF($F$3:$F$1460=$F551,$H$3:$H$1460),2)</f>
        <v>91.88</v>
      </c>
      <c r="M551" s="9">
        <f t="array" ref="M551">QUARTILE(IF($F$3:$F$1460=$F551,$H$3:$H$1460),3)</f>
        <v>148.36000000000001</v>
      </c>
    </row>
    <row r="552" spans="1:13" x14ac:dyDescent="0.25">
      <c r="A552" s="7">
        <v>552</v>
      </c>
      <c r="B552" s="6" t="s">
        <v>97</v>
      </c>
      <c r="C552" s="7">
        <v>5359822</v>
      </c>
      <c r="D552" s="23" t="s">
        <v>318</v>
      </c>
      <c r="E552" s="6" t="s">
        <v>319</v>
      </c>
      <c r="F552" s="21" t="s">
        <v>31</v>
      </c>
      <c r="G552" s="6" t="s">
        <v>486</v>
      </c>
      <c r="H552" s="22">
        <v>66.400000000000006</v>
      </c>
      <c r="I552" s="9">
        <v>1</v>
      </c>
      <c r="J552" s="22">
        <f t="shared" si="6"/>
        <v>66.400000000000006</v>
      </c>
      <c r="K552" s="9">
        <f t="array" ref="K552">QUARTILE(IF($F$3:$F$1460=$F552,$H$3:$H$1460),1)</f>
        <v>55.5</v>
      </c>
      <c r="L552" s="9">
        <f t="array" ref="L552">QUARTILE(IF($F$3:$F$1460=$F552,$H$3:$H$1460),2)</f>
        <v>91.88</v>
      </c>
      <c r="M552" s="9">
        <f t="array" ref="M552">QUARTILE(IF($F$3:$F$1460=$F552,$H$3:$H$1460),3)</f>
        <v>148.36000000000001</v>
      </c>
    </row>
    <row r="553" spans="1:13" x14ac:dyDescent="0.25">
      <c r="A553" s="7">
        <v>553</v>
      </c>
      <c r="B553" s="6" t="s">
        <v>97</v>
      </c>
      <c r="C553" s="7">
        <v>5359822</v>
      </c>
      <c r="D553" s="23" t="s">
        <v>318</v>
      </c>
      <c r="E553" s="6" t="s">
        <v>319</v>
      </c>
      <c r="F553" s="21" t="s">
        <v>31</v>
      </c>
      <c r="G553" s="6" t="s">
        <v>487</v>
      </c>
      <c r="H553" s="22">
        <v>38.4</v>
      </c>
      <c r="I553" s="9">
        <v>1</v>
      </c>
      <c r="J553" s="22">
        <f t="shared" si="6"/>
        <v>38.4</v>
      </c>
      <c r="K553" s="9">
        <f t="array" ref="K553">QUARTILE(IF($F$3:$F$1460=$F553,$H$3:$H$1460),1)</f>
        <v>55.5</v>
      </c>
      <c r="L553" s="9">
        <f t="array" ref="L553">QUARTILE(IF($F$3:$F$1460=$F553,$H$3:$H$1460),2)</f>
        <v>91.88</v>
      </c>
      <c r="M553" s="9">
        <f t="array" ref="M553">QUARTILE(IF($F$3:$F$1460=$F553,$H$3:$H$1460),3)</f>
        <v>148.36000000000001</v>
      </c>
    </row>
    <row r="554" spans="1:13" x14ac:dyDescent="0.25">
      <c r="A554" s="7">
        <v>554</v>
      </c>
      <c r="B554" s="6" t="s">
        <v>97</v>
      </c>
      <c r="C554" s="7">
        <v>5359822</v>
      </c>
      <c r="D554" s="23" t="s">
        <v>318</v>
      </c>
      <c r="E554" s="6" t="s">
        <v>319</v>
      </c>
      <c r="F554" s="21" t="s">
        <v>31</v>
      </c>
      <c r="G554" s="6" t="s">
        <v>488</v>
      </c>
      <c r="H554" s="22">
        <v>39.799999999999997</v>
      </c>
      <c r="I554" s="9">
        <v>1</v>
      </c>
      <c r="J554" s="22">
        <f t="shared" si="6"/>
        <v>39.799999999999997</v>
      </c>
      <c r="K554" s="9">
        <f t="array" ref="K554">QUARTILE(IF($F$3:$F$1460=$F554,$H$3:$H$1460),1)</f>
        <v>55.5</v>
      </c>
      <c r="L554" s="9">
        <f t="array" ref="L554">QUARTILE(IF($F$3:$F$1460=$F554,$H$3:$H$1460),2)</f>
        <v>91.88</v>
      </c>
      <c r="M554" s="9">
        <f t="array" ref="M554">QUARTILE(IF($F$3:$F$1460=$F554,$H$3:$H$1460),3)</f>
        <v>148.36000000000001</v>
      </c>
    </row>
    <row r="555" spans="1:13" x14ac:dyDescent="0.25">
      <c r="A555" s="7">
        <v>555</v>
      </c>
      <c r="B555" s="6" t="s">
        <v>97</v>
      </c>
      <c r="C555" s="7">
        <v>5359822</v>
      </c>
      <c r="D555" s="23" t="s">
        <v>318</v>
      </c>
      <c r="E555" s="6" t="s">
        <v>319</v>
      </c>
      <c r="F555" s="21" t="s">
        <v>31</v>
      </c>
      <c r="G555" s="6" t="s">
        <v>489</v>
      </c>
      <c r="H555" s="22">
        <v>43.3</v>
      </c>
      <c r="I555" s="9">
        <v>1</v>
      </c>
      <c r="J555" s="22">
        <f t="shared" si="6"/>
        <v>43.3</v>
      </c>
      <c r="K555" s="9">
        <f t="array" ref="K555">QUARTILE(IF($F$3:$F$1460=$F555,$H$3:$H$1460),1)</f>
        <v>55.5</v>
      </c>
      <c r="L555" s="9">
        <f t="array" ref="L555">QUARTILE(IF($F$3:$F$1460=$F555,$H$3:$H$1460),2)</f>
        <v>91.88</v>
      </c>
      <c r="M555" s="9">
        <f t="array" ref="M555">QUARTILE(IF($F$3:$F$1460=$F555,$H$3:$H$1460),3)</f>
        <v>148.36000000000001</v>
      </c>
    </row>
    <row r="556" spans="1:13" x14ac:dyDescent="0.25">
      <c r="A556" s="7">
        <v>556</v>
      </c>
      <c r="B556" s="6" t="s">
        <v>97</v>
      </c>
      <c r="C556" s="7">
        <v>5359822</v>
      </c>
      <c r="D556" s="23" t="s">
        <v>318</v>
      </c>
      <c r="E556" s="6" t="s">
        <v>319</v>
      </c>
      <c r="F556" s="21" t="s">
        <v>31</v>
      </c>
      <c r="G556" s="6" t="s">
        <v>490</v>
      </c>
      <c r="H556" s="22">
        <v>57</v>
      </c>
      <c r="I556" s="9">
        <v>1</v>
      </c>
      <c r="J556" s="22">
        <f t="shared" si="6"/>
        <v>57</v>
      </c>
      <c r="K556" s="9">
        <f t="array" ref="K556">QUARTILE(IF($F$3:$F$1460=$F556,$H$3:$H$1460),1)</f>
        <v>55.5</v>
      </c>
      <c r="L556" s="9">
        <f t="array" ref="L556">QUARTILE(IF($F$3:$F$1460=$F556,$H$3:$H$1460),2)</f>
        <v>91.88</v>
      </c>
      <c r="M556" s="9">
        <f t="array" ref="M556">QUARTILE(IF($F$3:$F$1460=$F556,$H$3:$H$1460),3)</f>
        <v>148.36000000000001</v>
      </c>
    </row>
    <row r="557" spans="1:13" x14ac:dyDescent="0.25">
      <c r="A557" s="7">
        <v>557</v>
      </c>
      <c r="B557" s="6" t="s">
        <v>97</v>
      </c>
      <c r="C557" s="7">
        <v>5359822</v>
      </c>
      <c r="D557" s="23" t="s">
        <v>318</v>
      </c>
      <c r="E557" s="6" t="s">
        <v>319</v>
      </c>
      <c r="F557" s="21" t="s">
        <v>31</v>
      </c>
      <c r="G557" s="6" t="s">
        <v>491</v>
      </c>
      <c r="H557" s="22">
        <v>61.4</v>
      </c>
      <c r="I557" s="9">
        <v>1</v>
      </c>
      <c r="J557" s="22">
        <f t="shared" si="6"/>
        <v>61.4</v>
      </c>
      <c r="K557" s="9">
        <f t="array" ref="K557">QUARTILE(IF($F$3:$F$1460=$F557,$H$3:$H$1460),1)</f>
        <v>55.5</v>
      </c>
      <c r="L557" s="9">
        <f t="array" ref="L557">QUARTILE(IF($F$3:$F$1460=$F557,$H$3:$H$1460),2)</f>
        <v>91.88</v>
      </c>
      <c r="M557" s="9">
        <f t="array" ref="M557">QUARTILE(IF($F$3:$F$1460=$F557,$H$3:$H$1460),3)</f>
        <v>148.36000000000001</v>
      </c>
    </row>
    <row r="558" spans="1:13" x14ac:dyDescent="0.25">
      <c r="A558" s="7">
        <v>558</v>
      </c>
      <c r="B558" s="6" t="s">
        <v>97</v>
      </c>
      <c r="C558" s="7">
        <v>5359822</v>
      </c>
      <c r="D558" s="23" t="s">
        <v>318</v>
      </c>
      <c r="E558" s="6" t="s">
        <v>319</v>
      </c>
      <c r="F558" s="21" t="s">
        <v>31</v>
      </c>
      <c r="G558" s="6" t="s">
        <v>492</v>
      </c>
      <c r="H558" s="22">
        <v>82</v>
      </c>
      <c r="I558" s="9">
        <v>1</v>
      </c>
      <c r="J558" s="22">
        <f t="shared" si="6"/>
        <v>82</v>
      </c>
      <c r="K558" s="9">
        <f t="array" ref="K558">QUARTILE(IF($F$3:$F$1460=$F558,$H$3:$H$1460),1)</f>
        <v>55.5</v>
      </c>
      <c r="L558" s="9">
        <f t="array" ref="L558">QUARTILE(IF($F$3:$F$1460=$F558,$H$3:$H$1460),2)</f>
        <v>91.88</v>
      </c>
      <c r="M558" s="9">
        <f t="array" ref="M558">QUARTILE(IF($F$3:$F$1460=$F558,$H$3:$H$1460),3)</f>
        <v>148.36000000000001</v>
      </c>
    </row>
    <row r="559" spans="1:13" x14ac:dyDescent="0.25">
      <c r="A559" s="7">
        <v>559</v>
      </c>
      <c r="B559" s="6" t="s">
        <v>97</v>
      </c>
      <c r="C559" s="7">
        <v>5359822</v>
      </c>
      <c r="D559" s="23" t="s">
        <v>318</v>
      </c>
      <c r="E559" s="6" t="s">
        <v>319</v>
      </c>
      <c r="F559" s="21" t="s">
        <v>31</v>
      </c>
      <c r="G559" s="6" t="s">
        <v>493</v>
      </c>
      <c r="H559" s="22">
        <v>109</v>
      </c>
      <c r="I559" s="9">
        <v>1</v>
      </c>
      <c r="J559" s="22">
        <f t="shared" si="6"/>
        <v>109</v>
      </c>
      <c r="K559" s="9">
        <f t="array" ref="K559">QUARTILE(IF($F$3:$F$1460=$F559,$H$3:$H$1460),1)</f>
        <v>55.5</v>
      </c>
      <c r="L559" s="9">
        <f t="array" ref="L559">QUARTILE(IF($F$3:$F$1460=$F559,$H$3:$H$1460),2)</f>
        <v>91.88</v>
      </c>
      <c r="M559" s="9">
        <f t="array" ref="M559">QUARTILE(IF($F$3:$F$1460=$F559,$H$3:$H$1460),3)</f>
        <v>148.36000000000001</v>
      </c>
    </row>
    <row r="560" spans="1:13" x14ac:dyDescent="0.25">
      <c r="A560" s="7">
        <v>560</v>
      </c>
      <c r="B560" s="6" t="s">
        <v>97</v>
      </c>
      <c r="C560" s="7">
        <v>5359822</v>
      </c>
      <c r="D560" s="23" t="s">
        <v>318</v>
      </c>
      <c r="E560" s="6" t="s">
        <v>319</v>
      </c>
      <c r="F560" s="21" t="s">
        <v>68</v>
      </c>
      <c r="G560" s="45" t="s">
        <v>494</v>
      </c>
      <c r="H560" s="22">
        <v>598</v>
      </c>
      <c r="I560" s="9">
        <v>1</v>
      </c>
      <c r="J560" s="22">
        <f t="shared" si="6"/>
        <v>598</v>
      </c>
      <c r="K560" s="9">
        <f t="array" ref="K560">QUARTILE(IF($F$3:$F$1460=$F560,$H$3:$H$1460),1)</f>
        <v>2032</v>
      </c>
      <c r="L560" s="9">
        <f t="array" ref="L560">QUARTILE(IF($F$3:$F$1460=$F560,$H$3:$H$1460),2)</f>
        <v>19360</v>
      </c>
      <c r="M560" s="9">
        <f t="array" ref="M560">QUARTILE(IF($F$3:$F$1460=$F560,$H$3:$H$1460),3)</f>
        <v>87628.37</v>
      </c>
    </row>
    <row r="561" spans="1:13" x14ac:dyDescent="0.25">
      <c r="A561" s="7">
        <v>561</v>
      </c>
      <c r="B561" s="6" t="s">
        <v>97</v>
      </c>
      <c r="C561" s="7">
        <v>5359822</v>
      </c>
      <c r="D561" s="23" t="s">
        <v>318</v>
      </c>
      <c r="E561" s="6" t="s">
        <v>319</v>
      </c>
      <c r="F561" s="21" t="s">
        <v>68</v>
      </c>
      <c r="G561" s="45" t="s">
        <v>495</v>
      </c>
      <c r="H561" s="22">
        <v>482</v>
      </c>
      <c r="I561" s="9">
        <v>1</v>
      </c>
      <c r="J561" s="22">
        <f t="shared" si="6"/>
        <v>482</v>
      </c>
      <c r="K561" s="9">
        <f t="array" ref="K561">QUARTILE(IF($F$3:$F$1460=$F561,$H$3:$H$1460),1)</f>
        <v>2032</v>
      </c>
      <c r="L561" s="9">
        <f t="array" ref="L561">QUARTILE(IF($F$3:$F$1460=$F561,$H$3:$H$1460),2)</f>
        <v>19360</v>
      </c>
      <c r="M561" s="9">
        <f t="array" ref="M561">QUARTILE(IF($F$3:$F$1460=$F561,$H$3:$H$1460),3)</f>
        <v>87628.37</v>
      </c>
    </row>
    <row r="562" spans="1:13" x14ac:dyDescent="0.25">
      <c r="A562" s="7">
        <v>562</v>
      </c>
      <c r="B562" s="6" t="s">
        <v>97</v>
      </c>
      <c r="C562" s="7">
        <v>5359822</v>
      </c>
      <c r="D562" s="23" t="s">
        <v>318</v>
      </c>
      <c r="E562" s="6" t="s">
        <v>319</v>
      </c>
      <c r="F562" s="21" t="s">
        <v>68</v>
      </c>
      <c r="G562" s="45" t="s">
        <v>496</v>
      </c>
      <c r="H562" s="22">
        <v>290</v>
      </c>
      <c r="I562" s="9">
        <v>1</v>
      </c>
      <c r="J562" s="22">
        <f t="shared" si="6"/>
        <v>290</v>
      </c>
      <c r="K562" s="9">
        <f t="array" ref="K562">QUARTILE(IF($F$3:$F$1460=$F562,$H$3:$H$1460),1)</f>
        <v>2032</v>
      </c>
      <c r="L562" s="9">
        <f t="array" ref="L562">QUARTILE(IF($F$3:$F$1460=$F562,$H$3:$H$1460),2)</f>
        <v>19360</v>
      </c>
      <c r="M562" s="9">
        <f t="array" ref="M562">QUARTILE(IF($F$3:$F$1460=$F562,$H$3:$H$1460),3)</f>
        <v>87628.37</v>
      </c>
    </row>
    <row r="563" spans="1:13" x14ac:dyDescent="0.25">
      <c r="A563" s="7">
        <v>563</v>
      </c>
      <c r="B563" s="6" t="s">
        <v>97</v>
      </c>
      <c r="C563" s="7">
        <v>5359822</v>
      </c>
      <c r="D563" s="23" t="s">
        <v>318</v>
      </c>
      <c r="E563" s="6" t="s">
        <v>319</v>
      </c>
      <c r="F563" s="21" t="s">
        <v>31</v>
      </c>
      <c r="G563" s="6" t="s">
        <v>497</v>
      </c>
      <c r="H563" s="22">
        <v>97</v>
      </c>
      <c r="I563" s="9">
        <v>1</v>
      </c>
      <c r="J563" s="22">
        <f t="shared" si="6"/>
        <v>97</v>
      </c>
      <c r="K563" s="9">
        <f t="array" ref="K563">QUARTILE(IF($F$3:$F$1460=$F563,$H$3:$H$1460),1)</f>
        <v>55.5</v>
      </c>
      <c r="L563" s="9">
        <f t="array" ref="L563">QUARTILE(IF($F$3:$F$1460=$F563,$H$3:$H$1460),2)</f>
        <v>91.88</v>
      </c>
      <c r="M563" s="9">
        <f t="array" ref="M563">QUARTILE(IF($F$3:$F$1460=$F563,$H$3:$H$1460),3)</f>
        <v>148.36000000000001</v>
      </c>
    </row>
    <row r="564" spans="1:13" x14ac:dyDescent="0.25">
      <c r="A564" s="7">
        <v>564</v>
      </c>
      <c r="B564" s="6" t="s">
        <v>97</v>
      </c>
      <c r="C564" s="7">
        <v>5359822</v>
      </c>
      <c r="D564" s="23" t="s">
        <v>318</v>
      </c>
      <c r="E564" s="6" t="s">
        <v>319</v>
      </c>
      <c r="F564" s="21" t="s">
        <v>31</v>
      </c>
      <c r="G564" s="6" t="s">
        <v>498</v>
      </c>
      <c r="H564" s="22">
        <v>119</v>
      </c>
      <c r="I564" s="9">
        <v>1</v>
      </c>
      <c r="J564" s="22">
        <f t="shared" si="6"/>
        <v>119</v>
      </c>
      <c r="K564" s="9">
        <f t="array" ref="K564">QUARTILE(IF($F$3:$F$1460=$F564,$H$3:$H$1460),1)</f>
        <v>55.5</v>
      </c>
      <c r="L564" s="9">
        <f t="array" ref="L564">QUARTILE(IF($F$3:$F$1460=$F564,$H$3:$H$1460),2)</f>
        <v>91.88</v>
      </c>
      <c r="M564" s="9">
        <f t="array" ref="M564">QUARTILE(IF($F$3:$F$1460=$F564,$H$3:$H$1460),3)</f>
        <v>148.36000000000001</v>
      </c>
    </row>
    <row r="565" spans="1:13" x14ac:dyDescent="0.25">
      <c r="A565" s="7">
        <v>565</v>
      </c>
      <c r="B565" s="6" t="s">
        <v>97</v>
      </c>
      <c r="C565" s="7">
        <v>5359822</v>
      </c>
      <c r="D565" s="23" t="s">
        <v>318</v>
      </c>
      <c r="E565" s="6" t="s">
        <v>319</v>
      </c>
      <c r="F565" s="21" t="s">
        <v>31</v>
      </c>
      <c r="G565" s="6" t="s">
        <v>499</v>
      </c>
      <c r="H565" s="22">
        <v>203</v>
      </c>
      <c r="I565" s="9">
        <v>1</v>
      </c>
      <c r="J565" s="22">
        <f t="shared" si="6"/>
        <v>203</v>
      </c>
      <c r="K565" s="9">
        <f t="array" ref="K565">QUARTILE(IF($F$3:$F$1460=$F565,$H$3:$H$1460),1)</f>
        <v>55.5</v>
      </c>
      <c r="L565" s="9">
        <f t="array" ref="L565">QUARTILE(IF($F$3:$F$1460=$F565,$H$3:$H$1460),2)</f>
        <v>91.88</v>
      </c>
      <c r="M565" s="9">
        <f t="array" ref="M565">QUARTILE(IF($F$3:$F$1460=$F565,$H$3:$H$1460),3)</f>
        <v>148.36000000000001</v>
      </c>
    </row>
    <row r="566" spans="1:13" x14ac:dyDescent="0.25">
      <c r="A566" s="7">
        <v>566</v>
      </c>
      <c r="B566" s="6" t="s">
        <v>97</v>
      </c>
      <c r="C566" s="7">
        <v>5359822</v>
      </c>
      <c r="D566" s="23" t="s">
        <v>318</v>
      </c>
      <c r="E566" s="6" t="s">
        <v>319</v>
      </c>
      <c r="F566" s="21" t="s">
        <v>31</v>
      </c>
      <c r="G566" s="6" t="s">
        <v>500</v>
      </c>
      <c r="H566" s="22">
        <v>239</v>
      </c>
      <c r="I566" s="9">
        <v>1</v>
      </c>
      <c r="J566" s="22">
        <f t="shared" si="6"/>
        <v>239</v>
      </c>
      <c r="K566" s="9">
        <f t="array" ref="K566">QUARTILE(IF($F$3:$F$1460=$F566,$H$3:$H$1460),1)</f>
        <v>55.5</v>
      </c>
      <c r="L566" s="9">
        <f t="array" ref="L566">QUARTILE(IF($F$3:$F$1460=$F566,$H$3:$H$1460),2)</f>
        <v>91.88</v>
      </c>
      <c r="M566" s="9">
        <f t="array" ref="M566">QUARTILE(IF($F$3:$F$1460=$F566,$H$3:$H$1460),3)</f>
        <v>148.36000000000001</v>
      </c>
    </row>
    <row r="567" spans="1:13" x14ac:dyDescent="0.25">
      <c r="A567" s="7">
        <v>567</v>
      </c>
      <c r="B567" s="6" t="s">
        <v>97</v>
      </c>
      <c r="C567" s="7">
        <v>5359822</v>
      </c>
      <c r="D567" s="23" t="s">
        <v>318</v>
      </c>
      <c r="E567" s="6" t="s">
        <v>319</v>
      </c>
      <c r="F567" s="21" t="s">
        <v>27</v>
      </c>
      <c r="G567" s="6" t="s">
        <v>501</v>
      </c>
      <c r="H567" s="22">
        <v>36</v>
      </c>
      <c r="I567" s="9">
        <v>10</v>
      </c>
      <c r="J567" s="22">
        <f t="shared" si="6"/>
        <v>360</v>
      </c>
      <c r="K567" s="9">
        <f t="array" ref="K567">QUARTILE(IF($F$3:$F$1460=$F567,$H$3:$H$1460),1)</f>
        <v>35.864999999999995</v>
      </c>
      <c r="L567" s="9">
        <f t="array" ref="L567">QUARTILE(IF($F$3:$F$1460=$F567,$H$3:$H$1460),2)</f>
        <v>54.65</v>
      </c>
      <c r="M567" s="9">
        <f t="array" ref="M567">QUARTILE(IF($F$3:$F$1460=$F567,$H$3:$H$1460),3)</f>
        <v>66.5</v>
      </c>
    </row>
    <row r="568" spans="1:13" x14ac:dyDescent="0.25">
      <c r="A568" s="7">
        <v>568</v>
      </c>
      <c r="B568" s="6" t="s">
        <v>97</v>
      </c>
      <c r="C568" s="7">
        <v>5359822</v>
      </c>
      <c r="D568" s="23" t="s">
        <v>318</v>
      </c>
      <c r="E568" s="6" t="s">
        <v>319</v>
      </c>
      <c r="F568" s="21" t="s">
        <v>27</v>
      </c>
      <c r="G568" s="6" t="s">
        <v>502</v>
      </c>
      <c r="H568" s="22">
        <v>38</v>
      </c>
      <c r="I568" s="9">
        <v>10</v>
      </c>
      <c r="J568" s="22">
        <f t="shared" si="6"/>
        <v>380</v>
      </c>
      <c r="K568" s="9">
        <f t="array" ref="K568">QUARTILE(IF($F$3:$F$1460=$F568,$H$3:$H$1460),1)</f>
        <v>35.864999999999995</v>
      </c>
      <c r="L568" s="9">
        <f t="array" ref="L568">QUARTILE(IF($F$3:$F$1460=$F568,$H$3:$H$1460),2)</f>
        <v>54.65</v>
      </c>
      <c r="M568" s="9">
        <f t="array" ref="M568">QUARTILE(IF($F$3:$F$1460=$F568,$H$3:$H$1460),3)</f>
        <v>66.5</v>
      </c>
    </row>
    <row r="569" spans="1:13" x14ac:dyDescent="0.25">
      <c r="A569" s="7">
        <v>569</v>
      </c>
      <c r="B569" s="6" t="s">
        <v>97</v>
      </c>
      <c r="C569" s="7">
        <v>5359822</v>
      </c>
      <c r="D569" s="23" t="s">
        <v>318</v>
      </c>
      <c r="E569" s="6" t="s">
        <v>319</v>
      </c>
      <c r="F569" s="21" t="s">
        <v>27</v>
      </c>
      <c r="G569" s="6" t="s">
        <v>503</v>
      </c>
      <c r="H569" s="22">
        <v>60</v>
      </c>
      <c r="I569" s="9">
        <v>10</v>
      </c>
      <c r="J569" s="22">
        <f t="shared" si="6"/>
        <v>600</v>
      </c>
      <c r="K569" s="9">
        <f t="array" ref="K569">QUARTILE(IF($F$3:$F$1460=$F569,$H$3:$H$1460),1)</f>
        <v>35.864999999999995</v>
      </c>
      <c r="L569" s="9">
        <f t="array" ref="L569">QUARTILE(IF($F$3:$F$1460=$F569,$H$3:$H$1460),2)</f>
        <v>54.65</v>
      </c>
      <c r="M569" s="9">
        <f t="array" ref="M569">QUARTILE(IF($F$3:$F$1460=$F569,$H$3:$H$1460),3)</f>
        <v>66.5</v>
      </c>
    </row>
    <row r="570" spans="1:13" x14ac:dyDescent="0.25">
      <c r="A570" s="7">
        <v>570</v>
      </c>
      <c r="B570" s="6" t="s">
        <v>97</v>
      </c>
      <c r="C570" s="7">
        <v>5359822</v>
      </c>
      <c r="D570" s="23" t="s">
        <v>318</v>
      </c>
      <c r="E570" s="6" t="s">
        <v>319</v>
      </c>
      <c r="F570" s="21" t="s">
        <v>27</v>
      </c>
      <c r="G570" s="6" t="s">
        <v>504</v>
      </c>
      <c r="H570" s="22">
        <v>47</v>
      </c>
      <c r="I570" s="9">
        <v>25</v>
      </c>
      <c r="J570" s="22">
        <f t="shared" si="6"/>
        <v>1175</v>
      </c>
      <c r="K570" s="9">
        <f t="array" ref="K570">QUARTILE(IF($F$3:$F$1460=$F570,$H$3:$H$1460),1)</f>
        <v>35.864999999999995</v>
      </c>
      <c r="L570" s="9">
        <f t="array" ref="L570">QUARTILE(IF($F$3:$F$1460=$F570,$H$3:$H$1460),2)</f>
        <v>54.65</v>
      </c>
      <c r="M570" s="9">
        <f t="array" ref="M570">QUARTILE(IF($F$3:$F$1460=$F570,$H$3:$H$1460),3)</f>
        <v>66.5</v>
      </c>
    </row>
    <row r="571" spans="1:13" x14ac:dyDescent="0.25">
      <c r="A571" s="7">
        <v>571</v>
      </c>
      <c r="B571" s="6" t="s">
        <v>97</v>
      </c>
      <c r="C571" s="7">
        <v>5359822</v>
      </c>
      <c r="D571" s="23" t="s">
        <v>318</v>
      </c>
      <c r="E571" s="6" t="s">
        <v>319</v>
      </c>
      <c r="F571" s="21" t="s">
        <v>27</v>
      </c>
      <c r="G571" s="6" t="s">
        <v>505</v>
      </c>
      <c r="H571" s="22">
        <v>60</v>
      </c>
      <c r="I571" s="9">
        <v>25</v>
      </c>
      <c r="J571" s="22">
        <f t="shared" si="6"/>
        <v>1500</v>
      </c>
      <c r="K571" s="9">
        <f t="array" ref="K571">QUARTILE(IF($F$3:$F$1460=$F571,$H$3:$H$1460),1)</f>
        <v>35.864999999999995</v>
      </c>
      <c r="L571" s="9">
        <f t="array" ref="L571">QUARTILE(IF($F$3:$F$1460=$F571,$H$3:$H$1460),2)</f>
        <v>54.65</v>
      </c>
      <c r="M571" s="9">
        <f t="array" ref="M571">QUARTILE(IF($F$3:$F$1460=$F571,$H$3:$H$1460),3)</f>
        <v>66.5</v>
      </c>
    </row>
    <row r="572" spans="1:13" x14ac:dyDescent="0.25">
      <c r="A572" s="7">
        <v>572</v>
      </c>
      <c r="B572" s="6" t="s">
        <v>97</v>
      </c>
      <c r="C572" s="7">
        <v>5359822</v>
      </c>
      <c r="D572" s="23" t="s">
        <v>318</v>
      </c>
      <c r="E572" s="6" t="s">
        <v>319</v>
      </c>
      <c r="F572" s="21" t="s">
        <v>27</v>
      </c>
      <c r="G572" s="6" t="s">
        <v>506</v>
      </c>
      <c r="H572" s="22">
        <v>65</v>
      </c>
      <c r="I572" s="9">
        <v>20</v>
      </c>
      <c r="J572" s="22">
        <f t="shared" si="6"/>
        <v>1300</v>
      </c>
      <c r="K572" s="9">
        <f t="array" ref="K572">QUARTILE(IF($F$3:$F$1460=$F572,$H$3:$H$1460),1)</f>
        <v>35.864999999999995</v>
      </c>
      <c r="L572" s="9">
        <f t="array" ref="L572">QUARTILE(IF($F$3:$F$1460=$F572,$H$3:$H$1460),2)</f>
        <v>54.65</v>
      </c>
      <c r="M572" s="9">
        <f t="array" ref="M572">QUARTILE(IF($F$3:$F$1460=$F572,$H$3:$H$1460),3)</f>
        <v>66.5</v>
      </c>
    </row>
    <row r="573" spans="1:13" x14ac:dyDescent="0.25">
      <c r="A573" s="7">
        <v>573</v>
      </c>
      <c r="B573" s="6" t="s">
        <v>97</v>
      </c>
      <c r="C573" s="7">
        <v>5359822</v>
      </c>
      <c r="D573" s="23" t="s">
        <v>318</v>
      </c>
      <c r="E573" s="6" t="s">
        <v>319</v>
      </c>
      <c r="F573" s="21" t="s">
        <v>27</v>
      </c>
      <c r="G573" s="6" t="s">
        <v>507</v>
      </c>
      <c r="H573" s="22">
        <v>68</v>
      </c>
      <c r="I573" s="9">
        <v>25</v>
      </c>
      <c r="J573" s="22">
        <f t="shared" si="6"/>
        <v>1700</v>
      </c>
      <c r="K573" s="9">
        <f t="array" ref="K573">QUARTILE(IF($F$3:$F$1460=$F573,$H$3:$H$1460),1)</f>
        <v>35.864999999999995</v>
      </c>
      <c r="L573" s="9">
        <f t="array" ref="L573">QUARTILE(IF($F$3:$F$1460=$F573,$H$3:$H$1460),2)</f>
        <v>54.65</v>
      </c>
      <c r="M573" s="9">
        <f t="array" ref="M573">QUARTILE(IF($F$3:$F$1460=$F573,$H$3:$H$1460),3)</f>
        <v>66.5</v>
      </c>
    </row>
    <row r="574" spans="1:13" x14ac:dyDescent="0.25">
      <c r="A574" s="7">
        <v>574</v>
      </c>
      <c r="B574" s="6" t="s">
        <v>97</v>
      </c>
      <c r="C574" s="7">
        <v>5359822</v>
      </c>
      <c r="D574" s="23" t="s">
        <v>318</v>
      </c>
      <c r="E574" s="6" t="s">
        <v>319</v>
      </c>
      <c r="F574" s="21" t="s">
        <v>21</v>
      </c>
      <c r="G574" s="6" t="s">
        <v>508</v>
      </c>
      <c r="H574" s="22">
        <v>22.4</v>
      </c>
      <c r="I574" s="9">
        <v>25</v>
      </c>
      <c r="J574" s="34">
        <f t="shared" si="6"/>
        <v>560</v>
      </c>
      <c r="K574" s="9">
        <f t="array" ref="K574">QUARTILE(IF($F$3:$F$1460=$F574,$H$3:$H$1460),1)</f>
        <v>23.924999999999997</v>
      </c>
      <c r="L574" s="9">
        <f t="array" ref="L574">QUARTILE(IF($F$3:$F$1460=$F574,$H$3:$H$1460),2)</f>
        <v>25.45</v>
      </c>
      <c r="M574" s="9">
        <f t="array" ref="M574">QUARTILE(IF($F$3:$F$1460=$F574,$H$3:$H$1460),3)</f>
        <v>26.975000000000001</v>
      </c>
    </row>
    <row r="575" spans="1:13" x14ac:dyDescent="0.25">
      <c r="A575" s="7">
        <v>575</v>
      </c>
      <c r="B575" s="6" t="s">
        <v>97</v>
      </c>
      <c r="C575" s="7">
        <v>5359822</v>
      </c>
      <c r="D575" s="23" t="s">
        <v>318</v>
      </c>
      <c r="E575" s="6" t="s">
        <v>319</v>
      </c>
      <c r="F575" s="21" t="s">
        <v>21</v>
      </c>
      <c r="G575" s="6" t="s">
        <v>509</v>
      </c>
      <c r="H575" s="22">
        <v>28.5</v>
      </c>
      <c r="I575" s="9">
        <v>25</v>
      </c>
      <c r="J575" s="34">
        <f t="shared" si="6"/>
        <v>712.5</v>
      </c>
      <c r="K575" s="9">
        <f t="array" ref="K575">QUARTILE(IF($F$3:$F$1460=$F575,$H$3:$H$1460),1)</f>
        <v>23.924999999999997</v>
      </c>
      <c r="L575" s="9">
        <f t="array" ref="L575">QUARTILE(IF($F$3:$F$1460=$F575,$H$3:$H$1460),2)</f>
        <v>25.45</v>
      </c>
      <c r="M575" s="9">
        <f t="array" ref="M575">QUARTILE(IF($F$3:$F$1460=$F575,$H$3:$H$1460),3)</f>
        <v>26.975000000000001</v>
      </c>
    </row>
    <row r="576" spans="1:13" x14ac:dyDescent="0.25">
      <c r="A576" s="7">
        <v>576</v>
      </c>
      <c r="B576" s="6" t="s">
        <v>97</v>
      </c>
      <c r="C576" s="7">
        <v>5359822</v>
      </c>
      <c r="D576" s="23" t="s">
        <v>318</v>
      </c>
      <c r="E576" s="6" t="s">
        <v>319</v>
      </c>
      <c r="F576" s="4" t="s">
        <v>13</v>
      </c>
      <c r="G576" s="6" t="s">
        <v>510</v>
      </c>
      <c r="H576" s="22">
        <v>9.8000000000000007</v>
      </c>
      <c r="I576" s="9">
        <v>2</v>
      </c>
      <c r="J576" s="22">
        <f t="shared" si="6"/>
        <v>19.600000000000001</v>
      </c>
      <c r="K576" s="9">
        <f t="array" ref="K576">QUARTILE(IF($F$3:$F$1460=$F576,$H$3:$H$1460),1)</f>
        <v>11.272500000000001</v>
      </c>
      <c r="L576" s="9">
        <f t="array" ref="L576">QUARTILE(IF($F$3:$F$1460=$F576,$H$3:$H$1460),2)</f>
        <v>12.745000000000001</v>
      </c>
      <c r="M576" s="9">
        <f t="array" ref="M576">QUARTILE(IF($F$3:$F$1460=$F576,$H$3:$H$1460),3)</f>
        <v>14.217499999999999</v>
      </c>
    </row>
    <row r="577" spans="1:13" x14ac:dyDescent="0.25">
      <c r="A577" s="7">
        <v>577</v>
      </c>
      <c r="B577" s="6" t="s">
        <v>97</v>
      </c>
      <c r="C577" s="7">
        <v>5359822</v>
      </c>
      <c r="D577" s="23" t="s">
        <v>318</v>
      </c>
      <c r="E577" s="6" t="s">
        <v>319</v>
      </c>
      <c r="F577" s="21" t="s">
        <v>18</v>
      </c>
      <c r="G577" s="6" t="s">
        <v>511</v>
      </c>
      <c r="H577" s="22">
        <v>19</v>
      </c>
      <c r="I577" s="9">
        <v>2</v>
      </c>
      <c r="J577" s="22">
        <f t="shared" si="6"/>
        <v>38</v>
      </c>
      <c r="K577" s="9">
        <f t="array" ref="K577">QUARTILE(IF($F$3:$F$1460=$F577,$H$3:$H$1460),1)</f>
        <v>19</v>
      </c>
      <c r="L577" s="9">
        <f t="array" ref="L577">QUARTILE(IF($F$3:$F$1460=$F577,$H$3:$H$1460),2)</f>
        <v>19</v>
      </c>
      <c r="M577" s="9">
        <f t="array" ref="M577">QUARTILE(IF($F$3:$F$1460=$F577,$H$3:$H$1460),3)</f>
        <v>19</v>
      </c>
    </row>
    <row r="578" spans="1:13" x14ac:dyDescent="0.25">
      <c r="A578" s="7">
        <v>578</v>
      </c>
      <c r="B578" s="6" t="s">
        <v>97</v>
      </c>
      <c r="C578" s="7">
        <v>5359822</v>
      </c>
      <c r="D578" s="23" t="s">
        <v>318</v>
      </c>
      <c r="E578" s="6" t="s">
        <v>319</v>
      </c>
      <c r="F578" s="21" t="s">
        <v>16</v>
      </c>
      <c r="G578" s="6" t="s">
        <v>512</v>
      </c>
      <c r="H578" s="22">
        <v>13</v>
      </c>
      <c r="I578" s="9">
        <v>25</v>
      </c>
      <c r="J578" s="22">
        <f t="shared" si="6"/>
        <v>325</v>
      </c>
      <c r="K578" s="9">
        <f t="array" ref="K578">QUARTILE(IF($F$3:$F$1460=$F578,$H$3:$H$1460),1)</f>
        <v>14.8</v>
      </c>
      <c r="L578" s="9">
        <f t="array" ref="L578">QUARTILE(IF($F$3:$F$1460=$F578,$H$3:$H$1460),2)</f>
        <v>19.5</v>
      </c>
      <c r="M578" s="9">
        <f t="array" ref="M578">QUARTILE(IF($F$3:$F$1460=$F578,$H$3:$H$1460),3)</f>
        <v>31.25</v>
      </c>
    </row>
    <row r="579" spans="1:13" x14ac:dyDescent="0.25">
      <c r="A579" s="7">
        <v>579</v>
      </c>
      <c r="B579" s="6" t="s">
        <v>97</v>
      </c>
      <c r="C579" s="7">
        <v>5359822</v>
      </c>
      <c r="D579" s="23" t="s">
        <v>318</v>
      </c>
      <c r="E579" s="6" t="s">
        <v>319</v>
      </c>
      <c r="F579" s="21" t="s">
        <v>16</v>
      </c>
      <c r="G579" s="6" t="s">
        <v>513</v>
      </c>
      <c r="H579" s="22">
        <v>14</v>
      </c>
      <c r="I579" s="9">
        <v>25</v>
      </c>
      <c r="J579" s="22">
        <f t="shared" si="6"/>
        <v>350</v>
      </c>
      <c r="K579" s="9">
        <f t="array" ref="K579">QUARTILE(IF($F$3:$F$1460=$F579,$H$3:$H$1460),1)</f>
        <v>14.8</v>
      </c>
      <c r="L579" s="9">
        <f t="array" ref="L579">QUARTILE(IF($F$3:$F$1460=$F579,$H$3:$H$1460),2)</f>
        <v>19.5</v>
      </c>
      <c r="M579" s="9">
        <f t="array" ref="M579">QUARTILE(IF($F$3:$F$1460=$F579,$H$3:$H$1460),3)</f>
        <v>31.25</v>
      </c>
    </row>
    <row r="580" spans="1:13" x14ac:dyDescent="0.25">
      <c r="A580" s="7">
        <v>580</v>
      </c>
      <c r="B580" s="6" t="s">
        <v>97</v>
      </c>
      <c r="C580" s="7">
        <v>5359822</v>
      </c>
      <c r="D580" s="23" t="s">
        <v>318</v>
      </c>
      <c r="E580" s="6" t="s">
        <v>319</v>
      </c>
      <c r="F580" s="21" t="s">
        <v>16</v>
      </c>
      <c r="G580" s="6" t="s">
        <v>514</v>
      </c>
      <c r="H580" s="22">
        <v>57</v>
      </c>
      <c r="I580" s="9">
        <v>25</v>
      </c>
      <c r="J580" s="22">
        <f t="shared" si="6"/>
        <v>1425</v>
      </c>
      <c r="K580" s="9">
        <f t="array" ref="K580">QUARTILE(IF($F$3:$F$1460=$F580,$H$3:$H$1460),1)</f>
        <v>14.8</v>
      </c>
      <c r="L580" s="9">
        <f t="array" ref="L580">QUARTILE(IF($F$3:$F$1460=$F580,$H$3:$H$1460),2)</f>
        <v>19.5</v>
      </c>
      <c r="M580" s="9">
        <f t="array" ref="M580">QUARTILE(IF($F$3:$F$1460=$F580,$H$3:$H$1460),3)</f>
        <v>31.25</v>
      </c>
    </row>
    <row r="581" spans="1:13" x14ac:dyDescent="0.25">
      <c r="A581" s="7">
        <v>581</v>
      </c>
      <c r="B581" s="6" t="s">
        <v>97</v>
      </c>
      <c r="C581" s="7">
        <v>5359822</v>
      </c>
      <c r="D581" s="23" t="s">
        <v>318</v>
      </c>
      <c r="E581" s="6" t="s">
        <v>319</v>
      </c>
      <c r="F581" s="21" t="s">
        <v>16</v>
      </c>
      <c r="G581" s="6" t="s">
        <v>515</v>
      </c>
      <c r="H581" s="22">
        <v>20</v>
      </c>
      <c r="I581" s="9">
        <v>10</v>
      </c>
      <c r="J581" s="22">
        <f t="shared" si="6"/>
        <v>200</v>
      </c>
      <c r="K581" s="9">
        <f t="array" ref="K581">QUARTILE(IF($F$3:$F$1460=$F581,$H$3:$H$1460),1)</f>
        <v>14.8</v>
      </c>
      <c r="L581" s="9">
        <f t="array" ref="L581">QUARTILE(IF($F$3:$F$1460=$F581,$H$3:$H$1460),2)</f>
        <v>19.5</v>
      </c>
      <c r="M581" s="9">
        <f t="array" ref="M581">QUARTILE(IF($F$3:$F$1460=$F581,$H$3:$H$1460),3)</f>
        <v>31.25</v>
      </c>
    </row>
    <row r="582" spans="1:13" x14ac:dyDescent="0.25">
      <c r="A582" s="7">
        <v>582</v>
      </c>
      <c r="B582" s="6" t="s">
        <v>97</v>
      </c>
      <c r="C582" s="7">
        <v>5359822</v>
      </c>
      <c r="D582" s="23" t="s">
        <v>318</v>
      </c>
      <c r="E582" s="6" t="s">
        <v>319</v>
      </c>
      <c r="F582" s="21" t="s">
        <v>37</v>
      </c>
      <c r="G582" s="6" t="s">
        <v>516</v>
      </c>
      <c r="H582" s="22">
        <v>58</v>
      </c>
      <c r="I582" s="9">
        <v>2</v>
      </c>
      <c r="J582" s="22">
        <f t="shared" si="6"/>
        <v>116</v>
      </c>
      <c r="K582" s="9">
        <f t="array" ref="K582">QUARTILE(IF($F$3:$F$1460=$F582,$H$3:$H$1460),1)</f>
        <v>89.477499999999992</v>
      </c>
      <c r="L582" s="9">
        <f t="array" ref="L582">QUARTILE(IF($F$3:$F$1460=$F582,$H$3:$H$1460),2)</f>
        <v>121</v>
      </c>
      <c r="M582" s="9">
        <f t="array" ref="M582">QUARTILE(IF($F$3:$F$1460=$F582,$H$3:$H$1460),3)</f>
        <v>139.9025</v>
      </c>
    </row>
    <row r="583" spans="1:13" x14ac:dyDescent="0.25">
      <c r="A583" s="7">
        <v>583</v>
      </c>
      <c r="B583" s="6" t="s">
        <v>97</v>
      </c>
      <c r="C583" s="7">
        <v>5359822</v>
      </c>
      <c r="D583" s="23" t="s">
        <v>318</v>
      </c>
      <c r="E583" s="6" t="s">
        <v>319</v>
      </c>
      <c r="F583" s="21" t="s">
        <v>37</v>
      </c>
      <c r="G583" s="6" t="s">
        <v>517</v>
      </c>
      <c r="H583" s="22">
        <v>46</v>
      </c>
      <c r="I583" s="9">
        <v>15</v>
      </c>
      <c r="J583" s="22">
        <f t="shared" si="6"/>
        <v>690</v>
      </c>
      <c r="K583" s="9">
        <f t="array" ref="K583">QUARTILE(IF($F$3:$F$1460=$F583,$H$3:$H$1460),1)</f>
        <v>89.477499999999992</v>
      </c>
      <c r="L583" s="9">
        <f t="array" ref="L583">QUARTILE(IF($F$3:$F$1460=$F583,$H$3:$H$1460),2)</f>
        <v>121</v>
      </c>
      <c r="M583" s="9">
        <f t="array" ref="M583">QUARTILE(IF($F$3:$F$1460=$F583,$H$3:$H$1460),3)</f>
        <v>139.9025</v>
      </c>
    </row>
    <row r="584" spans="1:13" x14ac:dyDescent="0.25">
      <c r="A584" s="7">
        <v>584</v>
      </c>
      <c r="B584" s="6" t="s">
        <v>97</v>
      </c>
      <c r="C584" s="7">
        <v>5359822</v>
      </c>
      <c r="D584" s="23" t="s">
        <v>318</v>
      </c>
      <c r="E584" s="6" t="s">
        <v>319</v>
      </c>
      <c r="F584" s="21" t="s">
        <v>37</v>
      </c>
      <c r="G584" s="6" t="s">
        <v>518</v>
      </c>
      <c r="H584" s="22">
        <v>120</v>
      </c>
      <c r="I584" s="9">
        <v>15</v>
      </c>
      <c r="J584" s="22">
        <f t="shared" si="6"/>
        <v>1800</v>
      </c>
      <c r="K584" s="9">
        <f t="array" ref="K584">QUARTILE(IF($F$3:$F$1460=$F584,$H$3:$H$1460),1)</f>
        <v>89.477499999999992</v>
      </c>
      <c r="L584" s="9">
        <f t="array" ref="L584">QUARTILE(IF($F$3:$F$1460=$F584,$H$3:$H$1460),2)</f>
        <v>121</v>
      </c>
      <c r="M584" s="9">
        <f t="array" ref="M584">QUARTILE(IF($F$3:$F$1460=$F584,$H$3:$H$1460),3)</f>
        <v>139.9025</v>
      </c>
    </row>
    <row r="585" spans="1:13" x14ac:dyDescent="0.25">
      <c r="A585" s="7">
        <v>585</v>
      </c>
      <c r="B585" s="6" t="s">
        <v>97</v>
      </c>
      <c r="C585" s="7">
        <v>5359822</v>
      </c>
      <c r="D585" s="23" t="s">
        <v>318</v>
      </c>
      <c r="E585" s="6" t="s">
        <v>319</v>
      </c>
      <c r="F585" s="21" t="s">
        <v>37</v>
      </c>
      <c r="G585" s="6" t="s">
        <v>519</v>
      </c>
      <c r="H585" s="22">
        <v>155</v>
      </c>
      <c r="I585" s="9">
        <v>15</v>
      </c>
      <c r="J585" s="22">
        <f t="shared" si="6"/>
        <v>2325</v>
      </c>
      <c r="K585" s="9">
        <f t="array" ref="K585">QUARTILE(IF($F$3:$F$1460=$F585,$H$3:$H$1460),1)</f>
        <v>89.477499999999992</v>
      </c>
      <c r="L585" s="9">
        <f t="array" ref="L585">QUARTILE(IF($F$3:$F$1460=$F585,$H$3:$H$1460),2)</f>
        <v>121</v>
      </c>
      <c r="M585" s="9">
        <f t="array" ref="M585">QUARTILE(IF($F$3:$F$1460=$F585,$H$3:$H$1460),3)</f>
        <v>139.9025</v>
      </c>
    </row>
    <row r="586" spans="1:13" x14ac:dyDescent="0.25">
      <c r="A586" s="7">
        <v>586</v>
      </c>
      <c r="B586" s="6" t="s">
        <v>97</v>
      </c>
      <c r="C586" s="7">
        <v>5359822</v>
      </c>
      <c r="D586" s="23" t="s">
        <v>318</v>
      </c>
      <c r="E586" s="6" t="s">
        <v>319</v>
      </c>
      <c r="F586" s="21" t="s">
        <v>37</v>
      </c>
      <c r="G586" s="6" t="s">
        <v>520</v>
      </c>
      <c r="H586" s="22">
        <v>139</v>
      </c>
      <c r="I586" s="9">
        <v>2</v>
      </c>
      <c r="J586" s="22">
        <f t="shared" si="6"/>
        <v>278</v>
      </c>
      <c r="K586" s="9">
        <f t="array" ref="K586">QUARTILE(IF($F$3:$F$1460=$F586,$H$3:$H$1460),1)</f>
        <v>89.477499999999992</v>
      </c>
      <c r="L586" s="9">
        <f t="array" ref="L586">QUARTILE(IF($F$3:$F$1460=$F586,$H$3:$H$1460),2)</f>
        <v>121</v>
      </c>
      <c r="M586" s="9">
        <f t="array" ref="M586">QUARTILE(IF($F$3:$F$1460=$F586,$H$3:$H$1460),3)</f>
        <v>139.9025</v>
      </c>
    </row>
    <row r="587" spans="1:13" x14ac:dyDescent="0.25">
      <c r="A587" s="7">
        <v>587</v>
      </c>
      <c r="B587" s="6" t="s">
        <v>97</v>
      </c>
      <c r="C587" s="7">
        <v>5359822</v>
      </c>
      <c r="D587" s="23" t="s">
        <v>318</v>
      </c>
      <c r="E587" s="6" t="s">
        <v>319</v>
      </c>
      <c r="F587" s="21" t="s">
        <v>37</v>
      </c>
      <c r="G587" s="6" t="s">
        <v>521</v>
      </c>
      <c r="H587" s="22">
        <v>198</v>
      </c>
      <c r="I587" s="9">
        <v>2</v>
      </c>
      <c r="J587" s="22">
        <f t="shared" si="6"/>
        <v>396</v>
      </c>
      <c r="K587" s="9">
        <f t="array" ref="K587">QUARTILE(IF($F$3:$F$1460=$F587,$H$3:$H$1460),1)</f>
        <v>89.477499999999992</v>
      </c>
      <c r="L587" s="9">
        <f t="array" ref="L587">QUARTILE(IF($F$3:$F$1460=$F587,$H$3:$H$1460),2)</f>
        <v>121</v>
      </c>
      <c r="M587" s="9">
        <f t="array" ref="M587">QUARTILE(IF($F$3:$F$1460=$F587,$H$3:$H$1460),3)</f>
        <v>139.9025</v>
      </c>
    </row>
    <row r="588" spans="1:13" x14ac:dyDescent="0.25">
      <c r="A588" s="7">
        <v>588</v>
      </c>
      <c r="B588" s="6" t="s">
        <v>97</v>
      </c>
      <c r="C588" s="7">
        <v>5359822</v>
      </c>
      <c r="D588" s="23" t="s">
        <v>318</v>
      </c>
      <c r="E588" s="6" t="s">
        <v>319</v>
      </c>
      <c r="F588" s="21" t="s">
        <v>37</v>
      </c>
      <c r="G588" s="6" t="s">
        <v>522</v>
      </c>
      <c r="H588" s="22">
        <v>49</v>
      </c>
      <c r="I588" s="9">
        <v>15</v>
      </c>
      <c r="J588" s="22">
        <f t="shared" si="6"/>
        <v>735</v>
      </c>
      <c r="K588" s="9">
        <f t="array" ref="K588">QUARTILE(IF($F$3:$F$1460=$F588,$H$3:$H$1460),1)</f>
        <v>89.477499999999992</v>
      </c>
      <c r="L588" s="9">
        <f t="array" ref="L588">QUARTILE(IF($F$3:$F$1460=$F588,$H$3:$H$1460),2)</f>
        <v>121</v>
      </c>
      <c r="M588" s="9">
        <f t="array" ref="M588">QUARTILE(IF($F$3:$F$1460=$F588,$H$3:$H$1460),3)</f>
        <v>139.9025</v>
      </c>
    </row>
    <row r="589" spans="1:13" x14ac:dyDescent="0.25">
      <c r="A589" s="7">
        <v>589</v>
      </c>
      <c r="B589" s="6" t="s">
        <v>97</v>
      </c>
      <c r="C589" s="7">
        <v>5359822</v>
      </c>
      <c r="D589" s="23" t="s">
        <v>318</v>
      </c>
      <c r="E589" s="6" t="s">
        <v>319</v>
      </c>
      <c r="F589" s="21" t="s">
        <v>8</v>
      </c>
      <c r="G589" s="6" t="s">
        <v>523</v>
      </c>
      <c r="H589" s="22">
        <v>4.9000000000000004</v>
      </c>
      <c r="I589" s="9">
        <v>2</v>
      </c>
      <c r="J589" s="22">
        <f t="shared" si="6"/>
        <v>9.8000000000000007</v>
      </c>
      <c r="K589" s="9">
        <f t="array" ref="K589">QUARTILE(IF($F$3:$F$1460=$F589,$H$3:$H$1460),1)</f>
        <v>4.9000000000000004</v>
      </c>
      <c r="L589" s="9">
        <f t="array" ref="L589">QUARTILE(IF($F$3:$F$1460=$F589,$H$3:$H$1460),2)</f>
        <v>8.4</v>
      </c>
      <c r="M589" s="9">
        <f t="array" ref="M589">QUARTILE(IF($F$3:$F$1460=$F589,$H$3:$H$1460),3)</f>
        <v>14</v>
      </c>
    </row>
    <row r="590" spans="1:13" x14ac:dyDescent="0.25">
      <c r="A590" s="7">
        <v>590</v>
      </c>
      <c r="B590" s="6" t="s">
        <v>97</v>
      </c>
      <c r="C590" s="7">
        <v>5359822</v>
      </c>
      <c r="D590" s="23" t="s">
        <v>318</v>
      </c>
      <c r="E590" s="6" t="s">
        <v>319</v>
      </c>
      <c r="F590" s="21" t="s">
        <v>8</v>
      </c>
      <c r="G590" s="6" t="s">
        <v>524</v>
      </c>
      <c r="H590" s="22">
        <v>4.5</v>
      </c>
      <c r="I590" s="9">
        <v>5</v>
      </c>
      <c r="J590" s="22">
        <f t="shared" si="6"/>
        <v>22.5</v>
      </c>
      <c r="K590" s="9">
        <f t="array" ref="K590">QUARTILE(IF($F$3:$F$1460=$F590,$H$3:$H$1460),1)</f>
        <v>4.9000000000000004</v>
      </c>
      <c r="L590" s="9">
        <f t="array" ref="L590">QUARTILE(IF($F$3:$F$1460=$F590,$H$3:$H$1460),2)</f>
        <v>8.4</v>
      </c>
      <c r="M590" s="9">
        <f t="array" ref="M590">QUARTILE(IF($F$3:$F$1460=$F590,$H$3:$H$1460),3)</f>
        <v>14</v>
      </c>
    </row>
    <row r="591" spans="1:13" x14ac:dyDescent="0.25">
      <c r="A591" s="7">
        <v>591</v>
      </c>
      <c r="B591" s="6" t="s">
        <v>97</v>
      </c>
      <c r="C591" s="7">
        <v>5359822</v>
      </c>
      <c r="D591" s="23" t="s">
        <v>318</v>
      </c>
      <c r="E591" s="6" t="s">
        <v>319</v>
      </c>
      <c r="F591" s="21" t="s">
        <v>8</v>
      </c>
      <c r="G591" s="6" t="s">
        <v>525</v>
      </c>
      <c r="H591" s="22">
        <v>4.9000000000000004</v>
      </c>
      <c r="I591" s="9">
        <v>2</v>
      </c>
      <c r="J591" s="22">
        <f t="shared" si="6"/>
        <v>9.8000000000000007</v>
      </c>
      <c r="K591" s="9">
        <f t="array" ref="K591">QUARTILE(IF($F$3:$F$1460=$F591,$H$3:$H$1460),1)</f>
        <v>4.9000000000000004</v>
      </c>
      <c r="L591" s="9">
        <f t="array" ref="L591">QUARTILE(IF($F$3:$F$1460=$F591,$H$3:$H$1460),2)</f>
        <v>8.4</v>
      </c>
      <c r="M591" s="9">
        <f t="array" ref="M591">QUARTILE(IF($F$3:$F$1460=$F591,$H$3:$H$1460),3)</f>
        <v>14</v>
      </c>
    </row>
    <row r="592" spans="1:13" x14ac:dyDescent="0.25">
      <c r="A592" s="7">
        <v>592</v>
      </c>
      <c r="B592" s="6" t="s">
        <v>97</v>
      </c>
      <c r="C592" s="7">
        <v>5359822</v>
      </c>
      <c r="D592" s="23" t="s">
        <v>318</v>
      </c>
      <c r="E592" s="6" t="s">
        <v>319</v>
      </c>
      <c r="F592" s="21" t="s">
        <v>8</v>
      </c>
      <c r="G592" s="6" t="s">
        <v>526</v>
      </c>
      <c r="H592" s="22">
        <v>8.5</v>
      </c>
      <c r="I592" s="9">
        <v>2</v>
      </c>
      <c r="J592" s="22">
        <f t="shared" si="6"/>
        <v>17</v>
      </c>
      <c r="K592" s="9">
        <f t="array" ref="K592">QUARTILE(IF($F$3:$F$1460=$F592,$H$3:$H$1460),1)</f>
        <v>4.9000000000000004</v>
      </c>
      <c r="L592" s="9">
        <f t="array" ref="L592">QUARTILE(IF($F$3:$F$1460=$F592,$H$3:$H$1460),2)</f>
        <v>8.4</v>
      </c>
      <c r="M592" s="9">
        <f t="array" ref="M592">QUARTILE(IF($F$3:$F$1460=$F592,$H$3:$H$1460),3)</f>
        <v>14</v>
      </c>
    </row>
    <row r="593" spans="1:13" x14ac:dyDescent="0.25">
      <c r="A593" s="7">
        <v>593</v>
      </c>
      <c r="B593" s="6" t="s">
        <v>97</v>
      </c>
      <c r="C593" s="7">
        <v>5359822</v>
      </c>
      <c r="D593" s="23" t="s">
        <v>318</v>
      </c>
      <c r="E593" s="6" t="s">
        <v>319</v>
      </c>
      <c r="F593" s="21" t="s">
        <v>8</v>
      </c>
      <c r="G593" s="6" t="s">
        <v>527</v>
      </c>
      <c r="H593" s="22">
        <v>14</v>
      </c>
      <c r="I593" s="9">
        <v>2</v>
      </c>
      <c r="J593" s="22">
        <f t="shared" si="6"/>
        <v>28</v>
      </c>
      <c r="K593" s="9">
        <f t="array" ref="K593">QUARTILE(IF($F$3:$F$1460=$F593,$H$3:$H$1460),1)</f>
        <v>4.9000000000000004</v>
      </c>
      <c r="L593" s="9">
        <f t="array" ref="L593">QUARTILE(IF($F$3:$F$1460=$F593,$H$3:$H$1460),2)</f>
        <v>8.4</v>
      </c>
      <c r="M593" s="9">
        <f t="array" ref="M593">QUARTILE(IF($F$3:$F$1460=$F593,$H$3:$H$1460),3)</f>
        <v>14</v>
      </c>
    </row>
    <row r="594" spans="1:13" x14ac:dyDescent="0.25">
      <c r="A594" s="7">
        <v>594</v>
      </c>
      <c r="B594" s="6" t="s">
        <v>97</v>
      </c>
      <c r="C594" s="7">
        <v>5359822</v>
      </c>
      <c r="D594" s="23" t="s">
        <v>318</v>
      </c>
      <c r="E594" s="6" t="s">
        <v>319</v>
      </c>
      <c r="F594" s="21" t="s">
        <v>8</v>
      </c>
      <c r="G594" s="6" t="s">
        <v>528</v>
      </c>
      <c r="H594" s="22">
        <v>8.4</v>
      </c>
      <c r="I594" s="9">
        <v>2</v>
      </c>
      <c r="J594" s="22">
        <f t="shared" si="6"/>
        <v>16.8</v>
      </c>
      <c r="K594" s="9">
        <f t="array" ref="K594">QUARTILE(IF($F$3:$F$1460=$F594,$H$3:$H$1460),1)</f>
        <v>4.9000000000000004</v>
      </c>
      <c r="L594" s="9">
        <f t="array" ref="L594">QUARTILE(IF($F$3:$F$1460=$F594,$H$3:$H$1460),2)</f>
        <v>8.4</v>
      </c>
      <c r="M594" s="9">
        <f t="array" ref="M594">QUARTILE(IF($F$3:$F$1460=$F594,$H$3:$H$1460),3)</f>
        <v>14</v>
      </c>
    </row>
    <row r="595" spans="1:13" x14ac:dyDescent="0.25">
      <c r="A595" s="7">
        <v>595</v>
      </c>
      <c r="B595" s="6" t="s">
        <v>97</v>
      </c>
      <c r="C595" s="7">
        <v>5359822</v>
      </c>
      <c r="D595" s="23" t="s">
        <v>318</v>
      </c>
      <c r="E595" s="6" t="s">
        <v>319</v>
      </c>
      <c r="F595" s="21" t="s">
        <v>10</v>
      </c>
      <c r="G595" s="6" t="s">
        <v>529</v>
      </c>
      <c r="H595" s="22">
        <v>4.5</v>
      </c>
      <c r="I595" s="9">
        <v>2</v>
      </c>
      <c r="J595" s="22">
        <f t="shared" si="6"/>
        <v>9</v>
      </c>
      <c r="K595" s="9">
        <f t="array" ref="K595">QUARTILE(IF($F$3:$F$1460=$F595,$H$3:$H$1460),1)</f>
        <v>7.9050000000000002</v>
      </c>
      <c r="L595" s="9">
        <f t="array" ref="L595">QUARTILE(IF($F$3:$F$1460=$F595,$H$3:$H$1460),2)</f>
        <v>13</v>
      </c>
      <c r="M595" s="9">
        <f t="array" ref="M595">QUARTILE(IF($F$3:$F$1460=$F595,$H$3:$H$1460),3)</f>
        <v>16.75</v>
      </c>
    </row>
    <row r="596" spans="1:13" x14ac:dyDescent="0.25">
      <c r="A596" s="7">
        <v>596</v>
      </c>
      <c r="B596" s="6" t="s">
        <v>97</v>
      </c>
      <c r="C596" s="7">
        <v>5359822</v>
      </c>
      <c r="D596" s="23" t="s">
        <v>318</v>
      </c>
      <c r="E596" s="6" t="s">
        <v>319</v>
      </c>
      <c r="F596" s="21" t="s">
        <v>10</v>
      </c>
      <c r="G596" s="6" t="s">
        <v>530</v>
      </c>
      <c r="H596" s="22">
        <v>18.5</v>
      </c>
      <c r="I596" s="9">
        <v>2</v>
      </c>
      <c r="J596" s="22">
        <f t="shared" ref="J596:J659" si="7">I596*H596</f>
        <v>37</v>
      </c>
      <c r="K596" s="9">
        <f t="array" ref="K596">QUARTILE(IF($F$3:$F$1460=$F596,$H$3:$H$1460),1)</f>
        <v>7.9050000000000002</v>
      </c>
      <c r="L596" s="9">
        <f t="array" ref="L596">QUARTILE(IF($F$3:$F$1460=$F596,$H$3:$H$1460),2)</f>
        <v>13</v>
      </c>
      <c r="M596" s="9">
        <f t="array" ref="M596">QUARTILE(IF($F$3:$F$1460=$F596,$H$3:$H$1460),3)</f>
        <v>16.75</v>
      </c>
    </row>
    <row r="597" spans="1:13" x14ac:dyDescent="0.25">
      <c r="A597" s="7">
        <v>597</v>
      </c>
      <c r="B597" s="6" t="s">
        <v>97</v>
      </c>
      <c r="C597" s="7">
        <v>5359822</v>
      </c>
      <c r="D597" s="23" t="s">
        <v>318</v>
      </c>
      <c r="E597" s="6" t="s">
        <v>319</v>
      </c>
      <c r="F597" s="21" t="s">
        <v>10</v>
      </c>
      <c r="G597" s="6" t="s">
        <v>531</v>
      </c>
      <c r="H597" s="22">
        <v>13</v>
      </c>
      <c r="I597" s="9">
        <v>2</v>
      </c>
      <c r="J597" s="22">
        <f t="shared" si="7"/>
        <v>26</v>
      </c>
      <c r="K597" s="9">
        <f t="array" ref="K597">QUARTILE(IF($F$3:$F$1460=$F597,$H$3:$H$1460),1)</f>
        <v>7.9050000000000002</v>
      </c>
      <c r="L597" s="9">
        <f t="array" ref="L597">QUARTILE(IF($F$3:$F$1460=$F597,$H$3:$H$1460),2)</f>
        <v>13</v>
      </c>
      <c r="M597" s="9">
        <f t="array" ref="M597">QUARTILE(IF($F$3:$F$1460=$F597,$H$3:$H$1460),3)</f>
        <v>16.75</v>
      </c>
    </row>
    <row r="598" spans="1:13" x14ac:dyDescent="0.25">
      <c r="A598" s="7">
        <v>598</v>
      </c>
      <c r="B598" s="6" t="s">
        <v>97</v>
      </c>
      <c r="C598" s="7">
        <v>5359822</v>
      </c>
      <c r="D598" s="23" t="s">
        <v>318</v>
      </c>
      <c r="E598" s="6" t="s">
        <v>319</v>
      </c>
      <c r="F598" s="21" t="s">
        <v>28</v>
      </c>
      <c r="G598" s="6" t="s">
        <v>532</v>
      </c>
      <c r="H598" s="22">
        <v>42.5</v>
      </c>
      <c r="I598" s="9">
        <v>1</v>
      </c>
      <c r="J598" s="22">
        <f t="shared" si="7"/>
        <v>42.5</v>
      </c>
      <c r="K598" s="9">
        <f t="array" ref="K598">QUARTILE(IF($F$3:$F$1460=$F598,$H$3:$H$1460),1)</f>
        <v>40.5</v>
      </c>
      <c r="L598" s="9">
        <f t="array" ref="L598">QUARTILE(IF($F$3:$F$1460=$F598,$H$3:$H$1460),2)</f>
        <v>43.39</v>
      </c>
      <c r="M598" s="9">
        <f t="array" ref="M598">QUARTILE(IF($F$3:$F$1460=$F598,$H$3:$H$1460),3)</f>
        <v>69.25</v>
      </c>
    </row>
    <row r="599" spans="1:13" x14ac:dyDescent="0.25">
      <c r="A599" s="7">
        <v>599</v>
      </c>
      <c r="B599" s="6" t="s">
        <v>97</v>
      </c>
      <c r="C599" s="7">
        <v>5359822</v>
      </c>
      <c r="D599" s="23" t="s">
        <v>318</v>
      </c>
      <c r="E599" s="6" t="s">
        <v>319</v>
      </c>
      <c r="F599" s="21" t="s">
        <v>28</v>
      </c>
      <c r="G599" s="6" t="s">
        <v>533</v>
      </c>
      <c r="H599" s="22">
        <v>59</v>
      </c>
      <c r="I599" s="9">
        <v>1</v>
      </c>
      <c r="J599" s="22">
        <f t="shared" si="7"/>
        <v>59</v>
      </c>
      <c r="K599" s="9">
        <f t="array" ref="K599">QUARTILE(IF($F$3:$F$1460=$F599,$H$3:$H$1460),1)</f>
        <v>40.5</v>
      </c>
      <c r="L599" s="9">
        <f t="array" ref="L599">QUARTILE(IF($F$3:$F$1460=$F599,$H$3:$H$1460),2)</f>
        <v>43.39</v>
      </c>
      <c r="M599" s="9">
        <f t="array" ref="M599">QUARTILE(IF($F$3:$F$1460=$F599,$H$3:$H$1460),3)</f>
        <v>69.25</v>
      </c>
    </row>
    <row r="600" spans="1:13" x14ac:dyDescent="0.25">
      <c r="A600" s="7">
        <v>600</v>
      </c>
      <c r="B600" s="6" t="s">
        <v>97</v>
      </c>
      <c r="C600" s="7">
        <v>5359822</v>
      </c>
      <c r="D600" s="23" t="s">
        <v>318</v>
      </c>
      <c r="E600" s="6" t="s">
        <v>319</v>
      </c>
      <c r="F600" s="21" t="s">
        <v>28</v>
      </c>
      <c r="G600" s="6" t="s">
        <v>534</v>
      </c>
      <c r="H600" s="22">
        <v>14.5</v>
      </c>
      <c r="I600" s="9">
        <v>1</v>
      </c>
      <c r="J600" s="22">
        <f t="shared" si="7"/>
        <v>14.5</v>
      </c>
      <c r="K600" s="9">
        <f t="array" ref="K600">QUARTILE(IF($F$3:$F$1460=$F600,$H$3:$H$1460),1)</f>
        <v>40.5</v>
      </c>
      <c r="L600" s="9">
        <f t="array" ref="L600">QUARTILE(IF($F$3:$F$1460=$F600,$H$3:$H$1460),2)</f>
        <v>43.39</v>
      </c>
      <c r="M600" s="9">
        <f t="array" ref="M600">QUARTILE(IF($F$3:$F$1460=$F600,$H$3:$H$1460),3)</f>
        <v>69.25</v>
      </c>
    </row>
    <row r="601" spans="1:13" x14ac:dyDescent="0.25">
      <c r="A601" s="7">
        <v>601</v>
      </c>
      <c r="B601" s="6" t="s">
        <v>97</v>
      </c>
      <c r="C601" s="7">
        <v>5359822</v>
      </c>
      <c r="D601" s="23" t="s">
        <v>318</v>
      </c>
      <c r="E601" s="6" t="s">
        <v>319</v>
      </c>
      <c r="F601" s="21" t="s">
        <v>28</v>
      </c>
      <c r="G601" s="6" t="s">
        <v>535</v>
      </c>
      <c r="H601" s="22">
        <v>34.5</v>
      </c>
      <c r="I601" s="9">
        <v>1</v>
      </c>
      <c r="J601" s="22">
        <f t="shared" si="7"/>
        <v>34.5</v>
      </c>
      <c r="K601" s="9">
        <f t="array" ref="K601">QUARTILE(IF($F$3:$F$1460=$F601,$H$3:$H$1460),1)</f>
        <v>40.5</v>
      </c>
      <c r="L601" s="9">
        <f t="array" ref="L601">QUARTILE(IF($F$3:$F$1460=$F601,$H$3:$H$1460),2)</f>
        <v>43.39</v>
      </c>
      <c r="M601" s="9">
        <f t="array" ref="M601">QUARTILE(IF($F$3:$F$1460=$F601,$H$3:$H$1460),3)</f>
        <v>69.25</v>
      </c>
    </row>
    <row r="602" spans="1:13" x14ac:dyDescent="0.25">
      <c r="A602" s="7">
        <v>602</v>
      </c>
      <c r="B602" s="6" t="s">
        <v>97</v>
      </c>
      <c r="C602" s="7">
        <v>5359822</v>
      </c>
      <c r="D602" s="23" t="s">
        <v>318</v>
      </c>
      <c r="E602" s="6" t="s">
        <v>319</v>
      </c>
      <c r="F602" s="21" t="s">
        <v>39</v>
      </c>
      <c r="G602" s="45" t="s">
        <v>536</v>
      </c>
      <c r="H602" s="22">
        <v>129</v>
      </c>
      <c r="I602" s="9">
        <v>1</v>
      </c>
      <c r="J602" s="22">
        <f t="shared" si="7"/>
        <v>129</v>
      </c>
      <c r="K602" s="9">
        <f t="array" ref="K602">QUARTILE(IF($F$3:$F$1460=$F602,$H$3:$H$1460),1)</f>
        <v>98.7</v>
      </c>
      <c r="L602" s="9">
        <f t="array" ref="L602">QUARTILE(IF($F$3:$F$1460=$F602,$H$3:$H$1460),2)</f>
        <v>172.56</v>
      </c>
      <c r="M602" s="9">
        <f t="array" ref="M602">QUARTILE(IF($F$3:$F$1460=$F602,$H$3:$H$1460),3)</f>
        <v>2312.5</v>
      </c>
    </row>
    <row r="603" spans="1:13" x14ac:dyDescent="0.25">
      <c r="A603" s="7">
        <v>603</v>
      </c>
      <c r="B603" s="6" t="s">
        <v>97</v>
      </c>
      <c r="C603" s="7">
        <v>5359822</v>
      </c>
      <c r="D603" s="23" t="s">
        <v>318</v>
      </c>
      <c r="E603" s="6" t="s">
        <v>319</v>
      </c>
      <c r="F603" s="21" t="s">
        <v>39</v>
      </c>
      <c r="G603" s="45" t="s">
        <v>537</v>
      </c>
      <c r="H603" s="22">
        <v>102</v>
      </c>
      <c r="I603" s="9">
        <v>1</v>
      </c>
      <c r="J603" s="22">
        <f t="shared" si="7"/>
        <v>102</v>
      </c>
      <c r="K603" s="9">
        <f t="array" ref="K603">QUARTILE(IF($F$3:$F$1460=$F603,$H$3:$H$1460),1)</f>
        <v>98.7</v>
      </c>
      <c r="L603" s="9">
        <f t="array" ref="L603">QUARTILE(IF($F$3:$F$1460=$F603,$H$3:$H$1460),2)</f>
        <v>172.56</v>
      </c>
      <c r="M603" s="9">
        <f t="array" ref="M603">QUARTILE(IF($F$3:$F$1460=$F603,$H$3:$H$1460),3)</f>
        <v>2312.5</v>
      </c>
    </row>
    <row r="604" spans="1:13" x14ac:dyDescent="0.25">
      <c r="A604" s="7">
        <v>604</v>
      </c>
      <c r="B604" s="6" t="s">
        <v>97</v>
      </c>
      <c r="C604" s="7">
        <v>5359822</v>
      </c>
      <c r="D604" s="23" t="s">
        <v>318</v>
      </c>
      <c r="E604" s="6" t="s">
        <v>319</v>
      </c>
      <c r="F604" s="21" t="s">
        <v>39</v>
      </c>
      <c r="G604" s="45" t="s">
        <v>538</v>
      </c>
      <c r="H604" s="22">
        <v>63</v>
      </c>
      <c r="I604" s="9">
        <v>1</v>
      </c>
      <c r="J604" s="22">
        <f t="shared" si="7"/>
        <v>63</v>
      </c>
      <c r="K604" s="9">
        <f t="array" ref="K604">QUARTILE(IF($F$3:$F$1460=$F604,$H$3:$H$1460),1)</f>
        <v>98.7</v>
      </c>
      <c r="L604" s="9">
        <f t="array" ref="L604">QUARTILE(IF($F$3:$F$1460=$F604,$H$3:$H$1460),2)</f>
        <v>172.56</v>
      </c>
      <c r="M604" s="9">
        <f t="array" ref="M604">QUARTILE(IF($F$3:$F$1460=$F604,$H$3:$H$1460),3)</f>
        <v>2312.5</v>
      </c>
    </row>
    <row r="605" spans="1:13" x14ac:dyDescent="0.25">
      <c r="A605" s="7">
        <v>605</v>
      </c>
      <c r="B605" s="6" t="s">
        <v>97</v>
      </c>
      <c r="C605" s="7">
        <v>5359822</v>
      </c>
      <c r="D605" s="23" t="s">
        <v>318</v>
      </c>
      <c r="E605" s="6" t="s">
        <v>319</v>
      </c>
      <c r="F605" s="21" t="s">
        <v>39</v>
      </c>
      <c r="G605" s="45" t="s">
        <v>539</v>
      </c>
      <c r="H605" s="22">
        <v>98</v>
      </c>
      <c r="I605" s="9">
        <v>1</v>
      </c>
      <c r="J605" s="22">
        <f t="shared" si="7"/>
        <v>98</v>
      </c>
      <c r="K605" s="9">
        <f t="array" ref="K605">QUARTILE(IF($F$3:$F$1460=$F605,$H$3:$H$1460),1)</f>
        <v>98.7</v>
      </c>
      <c r="L605" s="9">
        <f t="array" ref="L605">QUARTILE(IF($F$3:$F$1460=$F605,$H$3:$H$1460),2)</f>
        <v>172.56</v>
      </c>
      <c r="M605" s="9">
        <f t="array" ref="M605">QUARTILE(IF($F$3:$F$1460=$F605,$H$3:$H$1460),3)</f>
        <v>2312.5</v>
      </c>
    </row>
    <row r="606" spans="1:13" x14ac:dyDescent="0.25">
      <c r="A606" s="7">
        <v>606</v>
      </c>
      <c r="B606" s="6" t="s">
        <v>97</v>
      </c>
      <c r="C606" s="7">
        <v>5359822</v>
      </c>
      <c r="D606" s="23" t="s">
        <v>318</v>
      </c>
      <c r="E606" s="6" t="s">
        <v>319</v>
      </c>
      <c r="F606" s="21" t="s">
        <v>39</v>
      </c>
      <c r="G606" s="45" t="s">
        <v>540</v>
      </c>
      <c r="H606" s="22">
        <v>95</v>
      </c>
      <c r="I606" s="9">
        <v>1</v>
      </c>
      <c r="J606" s="22">
        <f t="shared" si="7"/>
        <v>95</v>
      </c>
      <c r="K606" s="9">
        <f t="array" ref="K606">QUARTILE(IF($F$3:$F$1460=$F606,$H$3:$H$1460),1)</f>
        <v>98.7</v>
      </c>
      <c r="L606" s="9">
        <f t="array" ref="L606">QUARTILE(IF($F$3:$F$1460=$F606,$H$3:$H$1460),2)</f>
        <v>172.56</v>
      </c>
      <c r="M606" s="9">
        <f t="array" ref="M606">QUARTILE(IF($F$3:$F$1460=$F606,$H$3:$H$1460),3)</f>
        <v>2312.5</v>
      </c>
    </row>
    <row r="607" spans="1:13" x14ac:dyDescent="0.25">
      <c r="A607" s="7">
        <v>607</v>
      </c>
      <c r="B607" s="6" t="s">
        <v>97</v>
      </c>
      <c r="C607" s="7">
        <v>5359822</v>
      </c>
      <c r="D607" s="23" t="s">
        <v>318</v>
      </c>
      <c r="E607" s="6" t="s">
        <v>319</v>
      </c>
      <c r="F607" s="21" t="s">
        <v>39</v>
      </c>
      <c r="G607" s="45" t="s">
        <v>541</v>
      </c>
      <c r="H607" s="22">
        <v>100.4</v>
      </c>
      <c r="I607" s="9">
        <v>1</v>
      </c>
      <c r="J607" s="22">
        <f t="shared" si="7"/>
        <v>100.4</v>
      </c>
      <c r="K607" s="9">
        <f t="array" ref="K607">QUARTILE(IF($F$3:$F$1460=$F607,$H$3:$H$1460),1)</f>
        <v>98.7</v>
      </c>
      <c r="L607" s="9">
        <f t="array" ref="L607">QUARTILE(IF($F$3:$F$1460=$F607,$H$3:$H$1460),2)</f>
        <v>172.56</v>
      </c>
      <c r="M607" s="9">
        <f t="array" ref="M607">QUARTILE(IF($F$3:$F$1460=$F607,$H$3:$H$1460),3)</f>
        <v>2312.5</v>
      </c>
    </row>
    <row r="608" spans="1:13" x14ac:dyDescent="0.25">
      <c r="A608" s="7">
        <v>608</v>
      </c>
      <c r="B608" s="6" t="s">
        <v>97</v>
      </c>
      <c r="C608" s="7">
        <v>5359822</v>
      </c>
      <c r="D608" s="23" t="s">
        <v>318</v>
      </c>
      <c r="E608" s="6" t="s">
        <v>319</v>
      </c>
      <c r="F608" s="21" t="s">
        <v>39</v>
      </c>
      <c r="G608" s="45" t="s">
        <v>542</v>
      </c>
      <c r="H608" s="22">
        <v>92.4</v>
      </c>
      <c r="I608" s="9">
        <v>1</v>
      </c>
      <c r="J608" s="22">
        <f t="shared" si="7"/>
        <v>92.4</v>
      </c>
      <c r="K608" s="9">
        <f t="array" ref="K608">QUARTILE(IF($F$3:$F$1460=$F608,$H$3:$H$1460),1)</f>
        <v>98.7</v>
      </c>
      <c r="L608" s="9">
        <f t="array" ref="L608">QUARTILE(IF($F$3:$F$1460=$F608,$H$3:$H$1460),2)</f>
        <v>172.56</v>
      </c>
      <c r="M608" s="9">
        <f t="array" ref="M608">QUARTILE(IF($F$3:$F$1460=$F608,$H$3:$H$1460),3)</f>
        <v>2312.5</v>
      </c>
    </row>
    <row r="609" spans="1:13" x14ac:dyDescent="0.25">
      <c r="A609" s="7">
        <v>609</v>
      </c>
      <c r="B609" s="6" t="s">
        <v>97</v>
      </c>
      <c r="C609" s="7">
        <v>5359822</v>
      </c>
      <c r="D609" s="23" t="s">
        <v>318</v>
      </c>
      <c r="E609" s="6" t="s">
        <v>319</v>
      </c>
      <c r="F609" s="21" t="s">
        <v>39</v>
      </c>
      <c r="G609" s="45" t="s">
        <v>539</v>
      </c>
      <c r="H609" s="22">
        <v>98.5</v>
      </c>
      <c r="I609" s="9">
        <v>1</v>
      </c>
      <c r="J609" s="22">
        <f t="shared" si="7"/>
        <v>98.5</v>
      </c>
      <c r="K609" s="9">
        <f t="array" ref="K609">QUARTILE(IF($F$3:$F$1460=$F609,$H$3:$H$1460),1)</f>
        <v>98.7</v>
      </c>
      <c r="L609" s="9">
        <f t="array" ref="L609">QUARTILE(IF($F$3:$F$1460=$F609,$H$3:$H$1460),2)</f>
        <v>172.56</v>
      </c>
      <c r="M609" s="9">
        <f t="array" ref="M609">QUARTILE(IF($F$3:$F$1460=$F609,$H$3:$H$1460),3)</f>
        <v>2312.5</v>
      </c>
    </row>
    <row r="610" spans="1:13" x14ac:dyDescent="0.25">
      <c r="A610" s="7">
        <v>610</v>
      </c>
      <c r="B610" s="6" t="s">
        <v>97</v>
      </c>
      <c r="C610" s="7">
        <v>5359822</v>
      </c>
      <c r="D610" s="23" t="s">
        <v>318</v>
      </c>
      <c r="E610" s="6" t="s">
        <v>319</v>
      </c>
      <c r="F610" s="21" t="s">
        <v>39</v>
      </c>
      <c r="G610" s="45" t="s">
        <v>543</v>
      </c>
      <c r="H610" s="22">
        <v>98.4</v>
      </c>
      <c r="I610" s="9">
        <v>1</v>
      </c>
      <c r="J610" s="22">
        <f t="shared" si="7"/>
        <v>98.4</v>
      </c>
      <c r="K610" s="9">
        <f t="array" ref="K610">QUARTILE(IF($F$3:$F$1460=$F610,$H$3:$H$1460),1)</f>
        <v>98.7</v>
      </c>
      <c r="L610" s="9">
        <f t="array" ref="L610">QUARTILE(IF($F$3:$F$1460=$F610,$H$3:$H$1460),2)</f>
        <v>172.56</v>
      </c>
      <c r="M610" s="9">
        <f t="array" ref="M610">QUARTILE(IF($F$3:$F$1460=$F610,$H$3:$H$1460),3)</f>
        <v>2312.5</v>
      </c>
    </row>
    <row r="611" spans="1:13" x14ac:dyDescent="0.25">
      <c r="A611" s="7">
        <v>611</v>
      </c>
      <c r="B611" s="6" t="s">
        <v>97</v>
      </c>
      <c r="C611" s="7">
        <v>5359822</v>
      </c>
      <c r="D611" s="23" t="s">
        <v>318</v>
      </c>
      <c r="E611" s="6" t="s">
        <v>319</v>
      </c>
      <c r="F611" s="21" t="s">
        <v>39</v>
      </c>
      <c r="G611" s="45" t="s">
        <v>544</v>
      </c>
      <c r="H611" s="22">
        <v>98.9</v>
      </c>
      <c r="I611" s="9">
        <v>1</v>
      </c>
      <c r="J611" s="22">
        <f t="shared" si="7"/>
        <v>98.9</v>
      </c>
      <c r="K611" s="9">
        <f t="array" ref="K611">QUARTILE(IF($F$3:$F$1460=$F611,$H$3:$H$1460),1)</f>
        <v>98.7</v>
      </c>
      <c r="L611" s="9">
        <f t="array" ref="L611">QUARTILE(IF($F$3:$F$1460=$F611,$H$3:$H$1460),2)</f>
        <v>172.56</v>
      </c>
      <c r="M611" s="9">
        <f t="array" ref="M611">QUARTILE(IF($F$3:$F$1460=$F611,$H$3:$H$1460),3)</f>
        <v>2312.5</v>
      </c>
    </row>
    <row r="612" spans="1:13" x14ac:dyDescent="0.25">
      <c r="A612" s="7">
        <v>612</v>
      </c>
      <c r="B612" s="6" t="s">
        <v>97</v>
      </c>
      <c r="C612" s="7">
        <v>5359822</v>
      </c>
      <c r="D612" s="23" t="s">
        <v>318</v>
      </c>
      <c r="E612" s="6" t="s">
        <v>319</v>
      </c>
      <c r="F612" s="21" t="s">
        <v>39</v>
      </c>
      <c r="G612" s="45" t="s">
        <v>545</v>
      </c>
      <c r="H612" s="22">
        <v>116</v>
      </c>
      <c r="I612" s="9">
        <v>1</v>
      </c>
      <c r="J612" s="22">
        <f t="shared" si="7"/>
        <v>116</v>
      </c>
      <c r="K612" s="9">
        <f t="array" ref="K612">QUARTILE(IF($F$3:$F$1460=$F612,$H$3:$H$1460),1)</f>
        <v>98.7</v>
      </c>
      <c r="L612" s="9">
        <f t="array" ref="L612">QUARTILE(IF($F$3:$F$1460=$F612,$H$3:$H$1460),2)</f>
        <v>172.56</v>
      </c>
      <c r="M612" s="9">
        <f t="array" ref="M612">QUARTILE(IF($F$3:$F$1460=$F612,$H$3:$H$1460),3)</f>
        <v>2312.5</v>
      </c>
    </row>
    <row r="613" spans="1:13" x14ac:dyDescent="0.25">
      <c r="A613" s="7">
        <v>613</v>
      </c>
      <c r="B613" s="6" t="s">
        <v>97</v>
      </c>
      <c r="C613" s="7">
        <v>5359822</v>
      </c>
      <c r="D613" s="23" t="s">
        <v>318</v>
      </c>
      <c r="E613" s="6" t="s">
        <v>319</v>
      </c>
      <c r="F613" s="21" t="s">
        <v>26</v>
      </c>
      <c r="G613" s="6" t="s">
        <v>546</v>
      </c>
      <c r="H613" s="22">
        <v>99.4</v>
      </c>
      <c r="I613" s="9">
        <v>5</v>
      </c>
      <c r="J613" s="22">
        <f t="shared" si="7"/>
        <v>497</v>
      </c>
      <c r="K613" s="9">
        <f t="array" ref="K613">QUARTILE(IF($F$3:$F$1460=$F613,$H$3:$H$1460),1)</f>
        <v>34.0625</v>
      </c>
      <c r="L613" s="9">
        <f t="array" ref="L613">QUARTILE(IF($F$3:$F$1460=$F613,$H$3:$H$1460),2)</f>
        <v>68.2</v>
      </c>
      <c r="M613" s="9">
        <f t="array" ref="M613">QUARTILE(IF($F$3:$F$1460=$F613,$H$3:$H$1460),3)</f>
        <v>133.05000000000001</v>
      </c>
    </row>
    <row r="614" spans="1:13" x14ac:dyDescent="0.25">
      <c r="A614" s="7">
        <v>614</v>
      </c>
      <c r="B614" s="6" t="s">
        <v>97</v>
      </c>
      <c r="C614" s="7">
        <v>5359822</v>
      </c>
      <c r="D614" s="23" t="s">
        <v>318</v>
      </c>
      <c r="E614" s="6" t="s">
        <v>319</v>
      </c>
      <c r="F614" s="21" t="s">
        <v>26</v>
      </c>
      <c r="G614" s="6" t="s">
        <v>547</v>
      </c>
      <c r="H614" s="22">
        <v>25.25</v>
      </c>
      <c r="I614" s="9">
        <v>5</v>
      </c>
      <c r="J614" s="22">
        <f t="shared" si="7"/>
        <v>126.25</v>
      </c>
      <c r="K614" s="9">
        <f t="array" ref="K614">QUARTILE(IF($F$3:$F$1460=$F614,$H$3:$H$1460),1)</f>
        <v>34.0625</v>
      </c>
      <c r="L614" s="9">
        <f t="array" ref="L614">QUARTILE(IF($F$3:$F$1460=$F614,$H$3:$H$1460),2)</f>
        <v>68.2</v>
      </c>
      <c r="M614" s="9">
        <f t="array" ref="M614">QUARTILE(IF($F$3:$F$1460=$F614,$H$3:$H$1460),3)</f>
        <v>133.05000000000001</v>
      </c>
    </row>
    <row r="615" spans="1:13" x14ac:dyDescent="0.25">
      <c r="A615" s="7">
        <v>615</v>
      </c>
      <c r="B615" s="6" t="s">
        <v>97</v>
      </c>
      <c r="C615" s="7">
        <v>5359822</v>
      </c>
      <c r="D615" s="23" t="s">
        <v>318</v>
      </c>
      <c r="E615" s="6" t="s">
        <v>319</v>
      </c>
      <c r="F615" s="21" t="s">
        <v>26</v>
      </c>
      <c r="G615" s="6" t="s">
        <v>548</v>
      </c>
      <c r="H615" s="22">
        <v>234</v>
      </c>
      <c r="I615" s="9">
        <v>5</v>
      </c>
      <c r="J615" s="22">
        <f t="shared" si="7"/>
        <v>1170</v>
      </c>
      <c r="K615" s="9">
        <f t="array" ref="K615">QUARTILE(IF($F$3:$F$1460=$F615,$H$3:$H$1460),1)</f>
        <v>34.0625</v>
      </c>
      <c r="L615" s="9">
        <f t="array" ref="L615">QUARTILE(IF($F$3:$F$1460=$F615,$H$3:$H$1460),2)</f>
        <v>68.2</v>
      </c>
      <c r="M615" s="9">
        <f t="array" ref="M615">QUARTILE(IF($F$3:$F$1460=$F615,$H$3:$H$1460),3)</f>
        <v>133.05000000000001</v>
      </c>
    </row>
    <row r="616" spans="1:13" x14ac:dyDescent="0.25">
      <c r="A616" s="7">
        <v>616</v>
      </c>
      <c r="B616" s="6" t="s">
        <v>97</v>
      </c>
      <c r="C616" s="7">
        <v>5359822</v>
      </c>
      <c r="D616" s="23" t="s">
        <v>318</v>
      </c>
      <c r="E616" s="6" t="s">
        <v>319</v>
      </c>
      <c r="F616" s="21" t="s">
        <v>57</v>
      </c>
      <c r="G616" s="6" t="s">
        <v>549</v>
      </c>
      <c r="H616" s="22">
        <v>570</v>
      </c>
      <c r="I616" s="9">
        <v>5</v>
      </c>
      <c r="J616" s="22">
        <f t="shared" si="7"/>
        <v>2850</v>
      </c>
      <c r="K616" s="9">
        <f t="array" ref="K616">QUARTILE(IF($F$3:$F$1460=$F616,$H$3:$H$1460),1)</f>
        <v>521.25</v>
      </c>
      <c r="L616" s="9">
        <f t="array" ref="L616">QUARTILE(IF($F$3:$F$1460=$F616,$H$3:$H$1460),2)</f>
        <v>707.91666666666674</v>
      </c>
      <c r="M616" s="9">
        <f t="array" ref="M616">QUARTILE(IF($F$3:$F$1460=$F616,$H$3:$H$1460),3)</f>
        <v>851.875</v>
      </c>
    </row>
    <row r="617" spans="1:13" x14ac:dyDescent="0.25">
      <c r="A617" s="7">
        <v>617</v>
      </c>
      <c r="B617" s="6" t="s">
        <v>97</v>
      </c>
      <c r="C617" s="7">
        <v>5359822</v>
      </c>
      <c r="D617" s="23" t="s">
        <v>318</v>
      </c>
      <c r="E617" s="6" t="s">
        <v>319</v>
      </c>
      <c r="F617" s="21" t="s">
        <v>57</v>
      </c>
      <c r="G617" s="6" t="s">
        <v>550</v>
      </c>
      <c r="H617" s="22">
        <v>870</v>
      </c>
      <c r="I617" s="9">
        <v>5</v>
      </c>
      <c r="J617" s="22">
        <f t="shared" si="7"/>
        <v>4350</v>
      </c>
      <c r="K617" s="9">
        <f t="array" ref="K617">QUARTILE(IF($F$3:$F$1460=$F617,$H$3:$H$1460),1)</f>
        <v>521.25</v>
      </c>
      <c r="L617" s="9">
        <f t="array" ref="L617">QUARTILE(IF($F$3:$F$1460=$F617,$H$3:$H$1460),2)</f>
        <v>707.91666666666674</v>
      </c>
      <c r="M617" s="9">
        <f t="array" ref="M617">QUARTILE(IF($F$3:$F$1460=$F617,$H$3:$H$1460),3)</f>
        <v>851.875</v>
      </c>
    </row>
    <row r="618" spans="1:13" x14ac:dyDescent="0.25">
      <c r="A618" s="7">
        <v>618</v>
      </c>
      <c r="B618" s="6" t="s">
        <v>97</v>
      </c>
      <c r="C618" s="7">
        <v>5359822</v>
      </c>
      <c r="D618" s="23" t="s">
        <v>318</v>
      </c>
      <c r="E618" s="6" t="s">
        <v>319</v>
      </c>
      <c r="F618" s="21" t="s">
        <v>57</v>
      </c>
      <c r="G618" s="6" t="s">
        <v>551</v>
      </c>
      <c r="H618" s="22">
        <v>375</v>
      </c>
      <c r="I618" s="9">
        <v>1</v>
      </c>
      <c r="J618" s="22">
        <f t="shared" si="7"/>
        <v>375</v>
      </c>
      <c r="K618" s="9">
        <f t="array" ref="K618">QUARTILE(IF($F$3:$F$1460=$F618,$H$3:$H$1460),1)</f>
        <v>521.25</v>
      </c>
      <c r="L618" s="9">
        <f t="array" ref="L618">QUARTILE(IF($F$3:$F$1460=$F618,$H$3:$H$1460),2)</f>
        <v>707.91666666666674</v>
      </c>
      <c r="M618" s="9">
        <f t="array" ref="M618">QUARTILE(IF($F$3:$F$1460=$F618,$H$3:$H$1460),3)</f>
        <v>851.875</v>
      </c>
    </row>
    <row r="619" spans="1:13" x14ac:dyDescent="0.25">
      <c r="A619" s="7">
        <v>619</v>
      </c>
      <c r="B619" s="6" t="s">
        <v>97</v>
      </c>
      <c r="C619" s="7">
        <v>5359822</v>
      </c>
      <c r="D619" s="23" t="s">
        <v>318</v>
      </c>
      <c r="E619" s="6" t="s">
        <v>319</v>
      </c>
      <c r="F619" s="21" t="s">
        <v>17</v>
      </c>
      <c r="G619" s="6" t="s">
        <v>552</v>
      </c>
      <c r="H619" s="22">
        <v>79</v>
      </c>
      <c r="I619" s="9">
        <v>5</v>
      </c>
      <c r="J619" s="22">
        <f t="shared" si="7"/>
        <v>395</v>
      </c>
      <c r="K619" s="9">
        <f t="array" ref="K619">QUARTILE(IF($F$3:$F$1460=$F619,$H$3:$H$1460),1)</f>
        <v>17.549999999999997</v>
      </c>
      <c r="L619" s="9">
        <f t="array" ref="L619">QUARTILE(IF($F$3:$F$1460=$F619,$H$3:$H$1460),2)</f>
        <v>275.8</v>
      </c>
      <c r="M619" s="9">
        <f t="array" ref="M619">QUARTILE(IF($F$3:$F$1460=$F619,$H$3:$H$1460),3)</f>
        <v>11191.057499999999</v>
      </c>
    </row>
    <row r="620" spans="1:13" x14ac:dyDescent="0.25">
      <c r="A620" s="7">
        <v>620</v>
      </c>
      <c r="B620" s="6" t="s">
        <v>97</v>
      </c>
      <c r="C620" s="7">
        <v>5359822</v>
      </c>
      <c r="D620" s="23" t="s">
        <v>318</v>
      </c>
      <c r="E620" s="6" t="s">
        <v>319</v>
      </c>
      <c r="F620" s="21" t="s">
        <v>7</v>
      </c>
      <c r="G620" s="6" t="s">
        <v>553</v>
      </c>
      <c r="H620" s="22">
        <v>6.9</v>
      </c>
      <c r="I620" s="9">
        <v>4</v>
      </c>
      <c r="J620" s="22">
        <f t="shared" si="7"/>
        <v>27.6</v>
      </c>
      <c r="K620" s="9">
        <f t="array" ref="K620">QUARTILE(IF($F$3:$F$1460=$F620,$H$3:$H$1460),1)</f>
        <v>4.8</v>
      </c>
      <c r="L620" s="9">
        <f t="array" ref="L620">QUARTILE(IF($F$3:$F$1460=$F620,$H$3:$H$1460),2)</f>
        <v>6.58</v>
      </c>
      <c r="M620" s="9">
        <f t="array" ref="M620">QUARTILE(IF($F$3:$F$1460=$F620,$H$3:$H$1460),3)</f>
        <v>6.9</v>
      </c>
    </row>
    <row r="621" spans="1:13" x14ac:dyDescent="0.25">
      <c r="A621" s="7">
        <v>621</v>
      </c>
      <c r="B621" s="6" t="s">
        <v>97</v>
      </c>
      <c r="C621" s="7">
        <v>5359822</v>
      </c>
      <c r="D621" s="23" t="s">
        <v>318</v>
      </c>
      <c r="E621" s="6" t="s">
        <v>319</v>
      </c>
      <c r="F621" s="21" t="s">
        <v>6</v>
      </c>
      <c r="G621" s="6" t="s">
        <v>554</v>
      </c>
      <c r="H621" s="22">
        <v>3.9</v>
      </c>
      <c r="I621" s="9">
        <v>10</v>
      </c>
      <c r="J621" s="22">
        <f t="shared" si="7"/>
        <v>39</v>
      </c>
      <c r="K621" s="9">
        <f t="array" ref="K621">QUARTILE(IF($F$3:$F$1460=$F621,$H$3:$H$1460),1)</f>
        <v>4.25</v>
      </c>
      <c r="L621" s="9">
        <f t="array" ref="L621">QUARTILE(IF($F$3:$F$1460=$F621,$H$3:$H$1460),2)</f>
        <v>6.12</v>
      </c>
      <c r="M621" s="9">
        <f t="array" ref="M621">QUARTILE(IF($F$3:$F$1460=$F621,$H$3:$H$1460),3)</f>
        <v>13.55</v>
      </c>
    </row>
    <row r="622" spans="1:13" x14ac:dyDescent="0.25">
      <c r="A622" s="7">
        <v>622</v>
      </c>
      <c r="B622" s="6" t="s">
        <v>97</v>
      </c>
      <c r="C622" s="7">
        <v>5359822</v>
      </c>
      <c r="D622" s="23" t="s">
        <v>318</v>
      </c>
      <c r="E622" s="6" t="s">
        <v>319</v>
      </c>
      <c r="F622" s="21" t="s">
        <v>6</v>
      </c>
      <c r="G622" s="6" t="s">
        <v>555</v>
      </c>
      <c r="H622" s="22">
        <v>6</v>
      </c>
      <c r="I622" s="9">
        <v>10</v>
      </c>
      <c r="J622" s="22">
        <f t="shared" si="7"/>
        <v>60</v>
      </c>
      <c r="K622" s="9">
        <f t="array" ref="K622">QUARTILE(IF($F$3:$F$1460=$F622,$H$3:$H$1460),1)</f>
        <v>4.25</v>
      </c>
      <c r="L622" s="9">
        <f t="array" ref="L622">QUARTILE(IF($F$3:$F$1460=$F622,$H$3:$H$1460),2)</f>
        <v>6.12</v>
      </c>
      <c r="M622" s="9">
        <f t="array" ref="M622">QUARTILE(IF($F$3:$F$1460=$F622,$H$3:$H$1460),3)</f>
        <v>13.55</v>
      </c>
    </row>
    <row r="623" spans="1:13" x14ac:dyDescent="0.25">
      <c r="A623" s="7">
        <v>623</v>
      </c>
      <c r="B623" s="6" t="s">
        <v>97</v>
      </c>
      <c r="C623" s="7">
        <v>5359822</v>
      </c>
      <c r="D623" s="23" t="s">
        <v>318</v>
      </c>
      <c r="E623" s="6" t="s">
        <v>319</v>
      </c>
      <c r="F623" s="21" t="s">
        <v>6</v>
      </c>
      <c r="G623" s="6" t="s">
        <v>556</v>
      </c>
      <c r="H623" s="22">
        <v>4.5999999999999996</v>
      </c>
      <c r="I623" s="9">
        <v>10</v>
      </c>
      <c r="J623" s="22">
        <f t="shared" si="7"/>
        <v>46</v>
      </c>
      <c r="K623" s="9">
        <f t="array" ref="K623">QUARTILE(IF($F$3:$F$1460=$F623,$H$3:$H$1460),1)</f>
        <v>4.25</v>
      </c>
      <c r="L623" s="9">
        <f t="array" ref="L623">QUARTILE(IF($F$3:$F$1460=$F623,$H$3:$H$1460),2)</f>
        <v>6.12</v>
      </c>
      <c r="M623" s="9">
        <f t="array" ref="M623">QUARTILE(IF($F$3:$F$1460=$F623,$H$3:$H$1460),3)</f>
        <v>13.55</v>
      </c>
    </row>
    <row r="624" spans="1:13" x14ac:dyDescent="0.25">
      <c r="A624" s="7">
        <v>624</v>
      </c>
      <c r="B624" s="6" t="s">
        <v>97</v>
      </c>
      <c r="C624" s="7">
        <v>5359822</v>
      </c>
      <c r="D624" s="23" t="s">
        <v>318</v>
      </c>
      <c r="E624" s="6" t="s">
        <v>319</v>
      </c>
      <c r="F624" s="21" t="s">
        <v>6</v>
      </c>
      <c r="G624" s="6" t="s">
        <v>557</v>
      </c>
      <c r="H624" s="22">
        <v>7.25</v>
      </c>
      <c r="I624" s="9">
        <v>10</v>
      </c>
      <c r="J624" s="22">
        <f t="shared" si="7"/>
        <v>72.5</v>
      </c>
      <c r="K624" s="9">
        <f t="array" ref="K624">QUARTILE(IF($F$3:$F$1460=$F624,$H$3:$H$1460),1)</f>
        <v>4.25</v>
      </c>
      <c r="L624" s="9">
        <f t="array" ref="L624">QUARTILE(IF($F$3:$F$1460=$F624,$H$3:$H$1460),2)</f>
        <v>6.12</v>
      </c>
      <c r="M624" s="9">
        <f t="array" ref="M624">QUARTILE(IF($F$3:$F$1460=$F624,$H$3:$H$1460),3)</f>
        <v>13.55</v>
      </c>
    </row>
    <row r="625" spans="1:13" x14ac:dyDescent="0.25">
      <c r="A625" s="7">
        <v>625</v>
      </c>
      <c r="B625" s="6" t="s">
        <v>97</v>
      </c>
      <c r="C625" s="7">
        <v>5359822</v>
      </c>
      <c r="D625" s="23" t="s">
        <v>318</v>
      </c>
      <c r="E625" s="6" t="s">
        <v>319</v>
      </c>
      <c r="F625" s="21" t="s">
        <v>6</v>
      </c>
      <c r="G625" s="6" t="s">
        <v>558</v>
      </c>
      <c r="H625" s="22">
        <v>19.8</v>
      </c>
      <c r="I625" s="9">
        <v>10</v>
      </c>
      <c r="J625" s="22">
        <f t="shared" si="7"/>
        <v>198</v>
      </c>
      <c r="K625" s="9">
        <f t="array" ref="K625">QUARTILE(IF($F$3:$F$1460=$F625,$H$3:$H$1460),1)</f>
        <v>4.25</v>
      </c>
      <c r="L625" s="9">
        <f t="array" ref="L625">QUARTILE(IF($F$3:$F$1460=$F625,$H$3:$H$1460),2)</f>
        <v>6.12</v>
      </c>
      <c r="M625" s="9">
        <f t="array" ref="M625">QUARTILE(IF($F$3:$F$1460=$F625,$H$3:$H$1460),3)</f>
        <v>13.55</v>
      </c>
    </row>
    <row r="626" spans="1:13" x14ac:dyDescent="0.25">
      <c r="A626" s="7">
        <v>626</v>
      </c>
      <c r="B626" s="6" t="s">
        <v>97</v>
      </c>
      <c r="C626" s="7">
        <v>5359822</v>
      </c>
      <c r="D626" s="23" t="s">
        <v>318</v>
      </c>
      <c r="E626" s="6" t="s">
        <v>319</v>
      </c>
      <c r="F626" s="21" t="s">
        <v>6</v>
      </c>
      <c r="G626" s="6" t="s">
        <v>559</v>
      </c>
      <c r="H626" s="22">
        <v>12.5</v>
      </c>
      <c r="I626" s="9">
        <v>15</v>
      </c>
      <c r="J626" s="22">
        <f t="shared" si="7"/>
        <v>187.5</v>
      </c>
      <c r="K626" s="9">
        <f t="array" ref="K626">QUARTILE(IF($F$3:$F$1460=$F626,$H$3:$H$1460),1)</f>
        <v>4.25</v>
      </c>
      <c r="L626" s="9">
        <f t="array" ref="L626">QUARTILE(IF($F$3:$F$1460=$F626,$H$3:$H$1460),2)</f>
        <v>6.12</v>
      </c>
      <c r="M626" s="9">
        <f t="array" ref="M626">QUARTILE(IF($F$3:$F$1460=$F626,$H$3:$H$1460),3)</f>
        <v>13.55</v>
      </c>
    </row>
    <row r="627" spans="1:13" x14ac:dyDescent="0.25">
      <c r="A627" s="7">
        <v>627</v>
      </c>
      <c r="B627" s="6" t="s">
        <v>97</v>
      </c>
      <c r="C627" s="7">
        <v>5359822</v>
      </c>
      <c r="D627" s="23" t="s">
        <v>318</v>
      </c>
      <c r="E627" s="6" t="s">
        <v>319</v>
      </c>
      <c r="F627" s="21" t="s">
        <v>6</v>
      </c>
      <c r="G627" s="6" t="s">
        <v>560</v>
      </c>
      <c r="H627" s="22">
        <v>23.5</v>
      </c>
      <c r="I627" s="9">
        <v>15</v>
      </c>
      <c r="J627" s="22">
        <f t="shared" si="7"/>
        <v>352.5</v>
      </c>
      <c r="K627" s="9">
        <f t="array" ref="K627">QUARTILE(IF($F$3:$F$1460=$F627,$H$3:$H$1460),1)</f>
        <v>4.25</v>
      </c>
      <c r="L627" s="9">
        <f t="array" ref="L627">QUARTILE(IF($F$3:$F$1460=$F627,$H$3:$H$1460),2)</f>
        <v>6.12</v>
      </c>
      <c r="M627" s="9">
        <f t="array" ref="M627">QUARTILE(IF($F$3:$F$1460=$F627,$H$3:$H$1460),3)</f>
        <v>13.55</v>
      </c>
    </row>
    <row r="628" spans="1:13" x14ac:dyDescent="0.25">
      <c r="A628" s="7">
        <v>628</v>
      </c>
      <c r="B628" s="6" t="s">
        <v>97</v>
      </c>
      <c r="C628" s="7">
        <v>5359822</v>
      </c>
      <c r="D628" s="23" t="s">
        <v>318</v>
      </c>
      <c r="E628" s="6" t="s">
        <v>319</v>
      </c>
      <c r="F628" s="21" t="s">
        <v>9</v>
      </c>
      <c r="G628" s="6" t="s">
        <v>561</v>
      </c>
      <c r="H628" s="22">
        <v>7</v>
      </c>
      <c r="I628" s="9">
        <v>15</v>
      </c>
      <c r="J628" s="22">
        <f t="shared" si="7"/>
        <v>105</v>
      </c>
      <c r="K628" s="9">
        <f t="array" ref="K628">QUARTILE(IF($F$3:$F$1460=$F628,$H$3:$H$1460),1)</f>
        <v>5.1899999999999995</v>
      </c>
      <c r="L628" s="9">
        <f t="array" ref="L628">QUARTILE(IF($F$3:$F$1460=$F628,$H$3:$H$1460),2)</f>
        <v>8.5</v>
      </c>
      <c r="M628" s="9">
        <f t="array" ref="M628">QUARTILE(IF($F$3:$F$1460=$F628,$H$3:$H$1460),3)</f>
        <v>21.95</v>
      </c>
    </row>
    <row r="629" spans="1:13" x14ac:dyDescent="0.25">
      <c r="A629" s="7">
        <v>629</v>
      </c>
      <c r="B629" s="6" t="s">
        <v>97</v>
      </c>
      <c r="C629" s="7">
        <v>5359822</v>
      </c>
      <c r="D629" s="23" t="s">
        <v>318</v>
      </c>
      <c r="E629" s="6" t="s">
        <v>319</v>
      </c>
      <c r="F629" s="21" t="s">
        <v>9</v>
      </c>
      <c r="G629" s="6" t="s">
        <v>562</v>
      </c>
      <c r="H629" s="22">
        <v>10</v>
      </c>
      <c r="I629" s="9">
        <v>15</v>
      </c>
      <c r="J629" s="22">
        <f t="shared" si="7"/>
        <v>150</v>
      </c>
      <c r="K629" s="9">
        <f t="array" ref="K629">QUARTILE(IF($F$3:$F$1460=$F629,$H$3:$H$1460),1)</f>
        <v>5.1899999999999995</v>
      </c>
      <c r="L629" s="9">
        <f t="array" ref="L629">QUARTILE(IF($F$3:$F$1460=$F629,$H$3:$H$1460),2)</f>
        <v>8.5</v>
      </c>
      <c r="M629" s="9">
        <f t="array" ref="M629">QUARTILE(IF($F$3:$F$1460=$F629,$H$3:$H$1460),3)</f>
        <v>21.95</v>
      </c>
    </row>
    <row r="630" spans="1:13" x14ac:dyDescent="0.25">
      <c r="A630" s="7">
        <v>630</v>
      </c>
      <c r="B630" s="6" t="s">
        <v>97</v>
      </c>
      <c r="C630" s="7">
        <v>5359822</v>
      </c>
      <c r="D630" s="23" t="s">
        <v>318</v>
      </c>
      <c r="E630" s="6" t="s">
        <v>319</v>
      </c>
      <c r="F630" s="21" t="s">
        <v>9</v>
      </c>
      <c r="G630" s="6" t="s">
        <v>563</v>
      </c>
      <c r="H630" s="22">
        <v>34.5</v>
      </c>
      <c r="I630" s="9">
        <v>15</v>
      </c>
      <c r="J630" s="22">
        <f t="shared" si="7"/>
        <v>517.5</v>
      </c>
      <c r="K630" s="9">
        <f t="array" ref="K630">QUARTILE(IF($F$3:$F$1460=$F630,$H$3:$H$1460),1)</f>
        <v>5.1899999999999995</v>
      </c>
      <c r="L630" s="9">
        <f t="array" ref="L630">QUARTILE(IF($F$3:$F$1460=$F630,$H$3:$H$1460),2)</f>
        <v>8.5</v>
      </c>
      <c r="M630" s="9">
        <f t="array" ref="M630">QUARTILE(IF($F$3:$F$1460=$F630,$H$3:$H$1460),3)</f>
        <v>21.95</v>
      </c>
    </row>
    <row r="631" spans="1:13" x14ac:dyDescent="0.25">
      <c r="A631" s="7">
        <v>631</v>
      </c>
      <c r="B631" s="6" t="s">
        <v>97</v>
      </c>
      <c r="C631" s="7">
        <v>5359822</v>
      </c>
      <c r="D631" s="23" t="s">
        <v>318</v>
      </c>
      <c r="E631" s="6" t="s">
        <v>319</v>
      </c>
      <c r="F631" s="21" t="s">
        <v>9</v>
      </c>
      <c r="G631" s="6" t="s">
        <v>564</v>
      </c>
      <c r="H631" s="22">
        <v>36.4</v>
      </c>
      <c r="I631" s="9">
        <v>4</v>
      </c>
      <c r="J631" s="22">
        <f t="shared" si="7"/>
        <v>145.6</v>
      </c>
      <c r="K631" s="9">
        <f t="array" ref="K631">QUARTILE(IF($F$3:$F$1460=$F631,$H$3:$H$1460),1)</f>
        <v>5.1899999999999995</v>
      </c>
      <c r="L631" s="9">
        <f t="array" ref="L631">QUARTILE(IF($F$3:$F$1460=$F631,$H$3:$H$1460),2)</f>
        <v>8.5</v>
      </c>
      <c r="M631" s="9">
        <f t="array" ref="M631">QUARTILE(IF($F$3:$F$1460=$F631,$H$3:$H$1460),3)</f>
        <v>21.95</v>
      </c>
    </row>
    <row r="632" spans="1:13" x14ac:dyDescent="0.25">
      <c r="A632" s="7">
        <v>632</v>
      </c>
      <c r="B632" s="6" t="s">
        <v>97</v>
      </c>
      <c r="C632" s="7">
        <v>5359822</v>
      </c>
      <c r="D632" s="23" t="s">
        <v>318</v>
      </c>
      <c r="E632" s="6" t="s">
        <v>319</v>
      </c>
      <c r="F632" s="21" t="s">
        <v>17</v>
      </c>
      <c r="G632" s="6" t="s">
        <v>565</v>
      </c>
      <c r="H632" s="22">
        <v>9.8000000000000007</v>
      </c>
      <c r="I632" s="9">
        <v>5</v>
      </c>
      <c r="J632" s="22">
        <f t="shared" si="7"/>
        <v>49</v>
      </c>
      <c r="K632" s="9">
        <f t="array" ref="K632">QUARTILE(IF($F$3:$F$1460=$F632,$H$3:$H$1460),1)</f>
        <v>17.549999999999997</v>
      </c>
      <c r="L632" s="9">
        <f t="array" ref="L632">QUARTILE(IF($F$3:$F$1460=$F632,$H$3:$H$1460),2)</f>
        <v>275.8</v>
      </c>
      <c r="M632" s="9">
        <f t="array" ref="M632">QUARTILE(IF($F$3:$F$1460=$F632,$H$3:$H$1460),3)</f>
        <v>11191.057499999999</v>
      </c>
    </row>
    <row r="633" spans="1:13" x14ac:dyDescent="0.25">
      <c r="A633" s="7">
        <v>633</v>
      </c>
      <c r="B633" s="6" t="s">
        <v>97</v>
      </c>
      <c r="C633" s="7">
        <v>5359822</v>
      </c>
      <c r="D633" s="23" t="s">
        <v>318</v>
      </c>
      <c r="E633" s="6" t="s">
        <v>319</v>
      </c>
      <c r="F633" s="21" t="s">
        <v>17</v>
      </c>
      <c r="G633" s="6" t="s">
        <v>566</v>
      </c>
      <c r="H633" s="22">
        <v>11.5</v>
      </c>
      <c r="I633" s="9">
        <v>5</v>
      </c>
      <c r="J633" s="22">
        <f t="shared" si="7"/>
        <v>57.5</v>
      </c>
      <c r="K633" s="9">
        <f t="array" ref="K633">QUARTILE(IF($F$3:$F$1460=$F633,$H$3:$H$1460),1)</f>
        <v>17.549999999999997</v>
      </c>
      <c r="L633" s="9">
        <f t="array" ref="L633">QUARTILE(IF($F$3:$F$1460=$F633,$H$3:$H$1460),2)</f>
        <v>275.8</v>
      </c>
      <c r="M633" s="9">
        <f t="array" ref="M633">QUARTILE(IF($F$3:$F$1460=$F633,$H$3:$H$1460),3)</f>
        <v>11191.057499999999</v>
      </c>
    </row>
    <row r="634" spans="1:13" x14ac:dyDescent="0.25">
      <c r="A634" s="7">
        <v>634</v>
      </c>
      <c r="B634" s="6" t="s">
        <v>97</v>
      </c>
      <c r="C634" s="7">
        <v>5359822</v>
      </c>
      <c r="D634" s="23" t="s">
        <v>318</v>
      </c>
      <c r="E634" s="6" t="s">
        <v>319</v>
      </c>
      <c r="F634" s="21" t="s">
        <v>17</v>
      </c>
      <c r="G634" s="6" t="s">
        <v>567</v>
      </c>
      <c r="H634" s="22">
        <v>16.899999999999999</v>
      </c>
      <c r="I634" s="9">
        <v>5</v>
      </c>
      <c r="J634" s="22">
        <f t="shared" si="7"/>
        <v>84.5</v>
      </c>
      <c r="K634" s="9">
        <f t="array" ref="K634">QUARTILE(IF($F$3:$F$1460=$F634,$H$3:$H$1460),1)</f>
        <v>17.549999999999997</v>
      </c>
      <c r="L634" s="9">
        <f t="array" ref="L634">QUARTILE(IF($F$3:$F$1460=$F634,$H$3:$H$1460),2)</f>
        <v>275.8</v>
      </c>
      <c r="M634" s="9">
        <f t="array" ref="M634">QUARTILE(IF($F$3:$F$1460=$F634,$H$3:$H$1460),3)</f>
        <v>11191.057499999999</v>
      </c>
    </row>
    <row r="635" spans="1:13" x14ac:dyDescent="0.25">
      <c r="A635" s="7">
        <v>635</v>
      </c>
      <c r="B635" s="6" t="s">
        <v>97</v>
      </c>
      <c r="C635" s="7">
        <v>5359822</v>
      </c>
      <c r="D635" s="23" t="s">
        <v>318</v>
      </c>
      <c r="E635" s="6" t="s">
        <v>319</v>
      </c>
      <c r="F635" s="21" t="s">
        <v>17</v>
      </c>
      <c r="G635" s="6" t="s">
        <v>568</v>
      </c>
      <c r="H635" s="22">
        <v>12.4</v>
      </c>
      <c r="I635" s="9">
        <v>5</v>
      </c>
      <c r="J635" s="22">
        <f t="shared" si="7"/>
        <v>62</v>
      </c>
      <c r="K635" s="9">
        <f t="array" ref="K635">QUARTILE(IF($F$3:$F$1460=$F635,$H$3:$H$1460),1)</f>
        <v>17.549999999999997</v>
      </c>
      <c r="L635" s="9">
        <f t="array" ref="L635">QUARTILE(IF($F$3:$F$1460=$F635,$H$3:$H$1460),2)</f>
        <v>275.8</v>
      </c>
      <c r="M635" s="9">
        <f t="array" ref="M635">QUARTILE(IF($F$3:$F$1460=$F635,$H$3:$H$1460),3)</f>
        <v>11191.057499999999</v>
      </c>
    </row>
    <row r="636" spans="1:13" x14ac:dyDescent="0.25">
      <c r="A636" s="7">
        <v>636</v>
      </c>
      <c r="B636" s="6" t="s">
        <v>97</v>
      </c>
      <c r="C636" s="7">
        <v>5359822</v>
      </c>
      <c r="D636" s="23" t="s">
        <v>318</v>
      </c>
      <c r="E636" s="6" t="s">
        <v>319</v>
      </c>
      <c r="F636" s="21" t="s">
        <v>17</v>
      </c>
      <c r="G636" s="6" t="s">
        <v>569</v>
      </c>
      <c r="H636" s="22">
        <v>15.5</v>
      </c>
      <c r="I636" s="9">
        <v>5</v>
      </c>
      <c r="J636" s="22">
        <f t="shared" si="7"/>
        <v>77.5</v>
      </c>
      <c r="K636" s="9">
        <f t="array" ref="K636">QUARTILE(IF($F$3:$F$1460=$F636,$H$3:$H$1460),1)</f>
        <v>17.549999999999997</v>
      </c>
      <c r="L636" s="9">
        <f t="array" ref="L636">QUARTILE(IF($F$3:$F$1460=$F636,$H$3:$H$1460),2)</f>
        <v>275.8</v>
      </c>
      <c r="M636" s="9">
        <f t="array" ref="M636">QUARTILE(IF($F$3:$F$1460=$F636,$H$3:$H$1460),3)</f>
        <v>11191.057499999999</v>
      </c>
    </row>
    <row r="637" spans="1:13" x14ac:dyDescent="0.25">
      <c r="A637" s="7">
        <v>637</v>
      </c>
      <c r="B637" s="6" t="s">
        <v>97</v>
      </c>
      <c r="C637" s="7">
        <v>5359822</v>
      </c>
      <c r="D637" s="23" t="s">
        <v>318</v>
      </c>
      <c r="E637" s="6" t="s">
        <v>319</v>
      </c>
      <c r="F637" s="21" t="s">
        <v>17</v>
      </c>
      <c r="G637" s="6" t="s">
        <v>570</v>
      </c>
      <c r="H637" s="22">
        <v>17.399999999999999</v>
      </c>
      <c r="I637" s="9">
        <v>5</v>
      </c>
      <c r="J637" s="22">
        <f t="shared" si="7"/>
        <v>87</v>
      </c>
      <c r="K637" s="9">
        <f t="array" ref="K637">QUARTILE(IF($F$3:$F$1460=$F637,$H$3:$H$1460),1)</f>
        <v>17.549999999999997</v>
      </c>
      <c r="L637" s="9">
        <f t="array" ref="L637">QUARTILE(IF($F$3:$F$1460=$F637,$H$3:$H$1460),2)</f>
        <v>275.8</v>
      </c>
      <c r="M637" s="9">
        <f t="array" ref="M637">QUARTILE(IF($F$3:$F$1460=$F637,$H$3:$H$1460),3)</f>
        <v>11191.057499999999</v>
      </c>
    </row>
    <row r="638" spans="1:13" x14ac:dyDescent="0.25">
      <c r="A638" s="7">
        <v>638</v>
      </c>
      <c r="B638" s="6" t="s">
        <v>97</v>
      </c>
      <c r="C638" s="7">
        <v>5359822</v>
      </c>
      <c r="D638" s="23" t="s">
        <v>318</v>
      </c>
      <c r="E638" s="6" t="s">
        <v>319</v>
      </c>
      <c r="F638" s="21" t="s">
        <v>17</v>
      </c>
      <c r="G638" s="6" t="s">
        <v>571</v>
      </c>
      <c r="H638" s="22">
        <v>13.9</v>
      </c>
      <c r="I638" s="9">
        <v>2</v>
      </c>
      <c r="J638" s="22">
        <f t="shared" si="7"/>
        <v>27.8</v>
      </c>
      <c r="K638" s="9">
        <f t="array" ref="K638">QUARTILE(IF($F$3:$F$1460=$F638,$H$3:$H$1460),1)</f>
        <v>17.549999999999997</v>
      </c>
      <c r="L638" s="9">
        <f t="array" ref="L638">QUARTILE(IF($F$3:$F$1460=$F638,$H$3:$H$1460),2)</f>
        <v>275.8</v>
      </c>
      <c r="M638" s="9">
        <f t="array" ref="M638">QUARTILE(IF($F$3:$F$1460=$F638,$H$3:$H$1460),3)</f>
        <v>11191.057499999999</v>
      </c>
    </row>
    <row r="639" spans="1:13" x14ac:dyDescent="0.25">
      <c r="A639" s="7">
        <v>639</v>
      </c>
      <c r="B639" s="6" t="s">
        <v>97</v>
      </c>
      <c r="C639" s="7">
        <v>5359822</v>
      </c>
      <c r="D639" s="23" t="s">
        <v>318</v>
      </c>
      <c r="E639" s="6" t="s">
        <v>319</v>
      </c>
      <c r="F639" s="21" t="s">
        <v>17</v>
      </c>
      <c r="G639" s="6" t="s">
        <v>572</v>
      </c>
      <c r="H639" s="22">
        <v>18.399999999999999</v>
      </c>
      <c r="I639" s="9">
        <v>2</v>
      </c>
      <c r="J639" s="22">
        <f t="shared" si="7"/>
        <v>36.799999999999997</v>
      </c>
      <c r="K639" s="9">
        <f t="array" ref="K639">QUARTILE(IF($F$3:$F$1460=$F639,$H$3:$H$1460),1)</f>
        <v>17.549999999999997</v>
      </c>
      <c r="L639" s="9">
        <f t="array" ref="L639">QUARTILE(IF($F$3:$F$1460=$F639,$H$3:$H$1460),2)</f>
        <v>275.8</v>
      </c>
      <c r="M639" s="9">
        <f t="array" ref="M639">QUARTILE(IF($F$3:$F$1460=$F639,$H$3:$H$1460),3)</f>
        <v>11191.057499999999</v>
      </c>
    </row>
    <row r="640" spans="1:13" x14ac:dyDescent="0.25">
      <c r="A640" s="7">
        <v>640</v>
      </c>
      <c r="B640" s="6" t="s">
        <v>97</v>
      </c>
      <c r="C640" s="7">
        <v>5359822</v>
      </c>
      <c r="D640" s="23" t="s">
        <v>318</v>
      </c>
      <c r="E640" s="6" t="s">
        <v>319</v>
      </c>
      <c r="F640" s="21" t="s">
        <v>32</v>
      </c>
      <c r="G640" s="45" t="s">
        <v>573</v>
      </c>
      <c r="H640" s="22">
        <v>49</v>
      </c>
      <c r="I640" s="9">
        <v>10</v>
      </c>
      <c r="J640" s="22">
        <f t="shared" si="7"/>
        <v>490</v>
      </c>
      <c r="K640" s="9">
        <f t="array" ref="K640">QUARTILE(IF($F$3:$F$1460=$F640,$H$3:$H$1460),1)</f>
        <v>59.227499999999999</v>
      </c>
      <c r="L640" s="9">
        <f t="array" ref="L640">QUARTILE(IF($F$3:$F$1460=$F640,$H$3:$H$1460),2)</f>
        <v>332.14</v>
      </c>
      <c r="M640" s="9">
        <f t="array" ref="M640">QUARTILE(IF($F$3:$F$1460=$F640,$H$3:$H$1460),3)</f>
        <v>1331.8050000000001</v>
      </c>
    </row>
    <row r="641" spans="1:13" x14ac:dyDescent="0.25">
      <c r="A641" s="7">
        <v>641</v>
      </c>
      <c r="B641" s="6" t="s">
        <v>97</v>
      </c>
      <c r="C641" s="7">
        <v>5359822</v>
      </c>
      <c r="D641" s="23" t="s">
        <v>318</v>
      </c>
      <c r="E641" s="6" t="s">
        <v>319</v>
      </c>
      <c r="F641" s="21" t="s">
        <v>32</v>
      </c>
      <c r="G641" s="45" t="s">
        <v>574</v>
      </c>
      <c r="H641" s="22">
        <v>960</v>
      </c>
      <c r="I641" s="9">
        <v>10</v>
      </c>
      <c r="J641" s="22">
        <f t="shared" si="7"/>
        <v>9600</v>
      </c>
      <c r="K641" s="9">
        <f t="array" ref="K641">QUARTILE(IF($F$3:$F$1460=$F641,$H$3:$H$1460),1)</f>
        <v>59.227499999999999</v>
      </c>
      <c r="L641" s="9">
        <f t="array" ref="L641">QUARTILE(IF($F$3:$F$1460=$F641,$H$3:$H$1460),2)</f>
        <v>332.14</v>
      </c>
      <c r="M641" s="9">
        <f t="array" ref="M641">QUARTILE(IF($F$3:$F$1460=$F641,$H$3:$H$1460),3)</f>
        <v>1331.8050000000001</v>
      </c>
    </row>
    <row r="642" spans="1:13" x14ac:dyDescent="0.25">
      <c r="A642" s="7">
        <v>642</v>
      </c>
      <c r="B642" s="6" t="s">
        <v>97</v>
      </c>
      <c r="C642" s="7">
        <v>5359822</v>
      </c>
      <c r="D642" s="23" t="s">
        <v>318</v>
      </c>
      <c r="E642" s="6" t="s">
        <v>319</v>
      </c>
      <c r="F642" s="21" t="s">
        <v>32</v>
      </c>
      <c r="G642" s="45" t="s">
        <v>575</v>
      </c>
      <c r="H642" s="22">
        <v>1820</v>
      </c>
      <c r="I642" s="9">
        <v>10</v>
      </c>
      <c r="J642" s="22">
        <f t="shared" si="7"/>
        <v>18200</v>
      </c>
      <c r="K642" s="9">
        <f t="array" ref="K642">QUARTILE(IF($F$3:$F$1460=$F642,$H$3:$H$1460),1)</f>
        <v>59.227499999999999</v>
      </c>
      <c r="L642" s="9">
        <f t="array" ref="L642">QUARTILE(IF($F$3:$F$1460=$F642,$H$3:$H$1460),2)</f>
        <v>332.14</v>
      </c>
      <c r="M642" s="9">
        <f t="array" ref="M642">QUARTILE(IF($F$3:$F$1460=$F642,$H$3:$H$1460),3)</f>
        <v>1331.8050000000001</v>
      </c>
    </row>
    <row r="643" spans="1:13" x14ac:dyDescent="0.25">
      <c r="A643" s="7">
        <v>643</v>
      </c>
      <c r="B643" s="6" t="s">
        <v>97</v>
      </c>
      <c r="C643" s="7">
        <v>5359822</v>
      </c>
      <c r="D643" s="23" t="s">
        <v>318</v>
      </c>
      <c r="E643" s="6" t="s">
        <v>319</v>
      </c>
      <c r="F643" s="21" t="s">
        <v>33</v>
      </c>
      <c r="G643" s="6" t="s">
        <v>576</v>
      </c>
      <c r="H643" s="22">
        <v>35.5</v>
      </c>
      <c r="I643" s="9">
        <v>5</v>
      </c>
      <c r="J643" s="22">
        <f t="shared" si="7"/>
        <v>177.5</v>
      </c>
      <c r="K643" s="9">
        <f t="array" ref="K643">QUARTILE(IF($F$3:$F$1460=$F643,$H$3:$H$1460),1)</f>
        <v>67.650000000000006</v>
      </c>
      <c r="L643" s="9">
        <f t="array" ref="L643">QUARTILE(IF($F$3:$F$1460=$F643,$H$3:$H$1460),2)</f>
        <v>99.8</v>
      </c>
      <c r="M643" s="9">
        <f t="array" ref="M643">QUARTILE(IF($F$3:$F$1460=$F643,$H$3:$H$1460),3)</f>
        <v>116.4</v>
      </c>
    </row>
    <row r="644" spans="1:13" x14ac:dyDescent="0.25">
      <c r="A644" s="7">
        <v>644</v>
      </c>
      <c r="B644" s="6" t="s">
        <v>97</v>
      </c>
      <c r="C644" s="7">
        <v>5359822</v>
      </c>
      <c r="D644" s="23" t="s">
        <v>318</v>
      </c>
      <c r="E644" s="6" t="s">
        <v>319</v>
      </c>
      <c r="F644" s="21" t="s">
        <v>33</v>
      </c>
      <c r="G644" s="6" t="s">
        <v>577</v>
      </c>
      <c r="H644" s="22">
        <v>99.8</v>
      </c>
      <c r="I644" s="9">
        <v>5</v>
      </c>
      <c r="J644" s="22">
        <f t="shared" si="7"/>
        <v>499</v>
      </c>
      <c r="K644" s="9">
        <f t="array" ref="K644">QUARTILE(IF($F$3:$F$1460=$F644,$H$3:$H$1460),1)</f>
        <v>67.650000000000006</v>
      </c>
      <c r="L644" s="9">
        <f t="array" ref="L644">QUARTILE(IF($F$3:$F$1460=$F644,$H$3:$H$1460),2)</f>
        <v>99.8</v>
      </c>
      <c r="M644" s="9">
        <f t="array" ref="M644">QUARTILE(IF($F$3:$F$1460=$F644,$H$3:$H$1460),3)</f>
        <v>116.4</v>
      </c>
    </row>
    <row r="645" spans="1:13" x14ac:dyDescent="0.25">
      <c r="A645" s="7">
        <v>645</v>
      </c>
      <c r="B645" s="6" t="s">
        <v>97</v>
      </c>
      <c r="C645" s="7">
        <v>5359822</v>
      </c>
      <c r="D645" s="23" t="s">
        <v>318</v>
      </c>
      <c r="E645" s="6" t="s">
        <v>319</v>
      </c>
      <c r="F645" s="21" t="s">
        <v>33</v>
      </c>
      <c r="G645" s="6" t="s">
        <v>578</v>
      </c>
      <c r="H645" s="22">
        <v>133</v>
      </c>
      <c r="I645" s="9">
        <v>5</v>
      </c>
      <c r="J645" s="22">
        <f t="shared" si="7"/>
        <v>665</v>
      </c>
      <c r="K645" s="9">
        <f t="array" ref="K645">QUARTILE(IF($F$3:$F$1460=$F645,$H$3:$H$1460),1)</f>
        <v>67.650000000000006</v>
      </c>
      <c r="L645" s="9">
        <f t="array" ref="L645">QUARTILE(IF($F$3:$F$1460=$F645,$H$3:$H$1460),2)</f>
        <v>99.8</v>
      </c>
      <c r="M645" s="9">
        <f t="array" ref="M645">QUARTILE(IF($F$3:$F$1460=$F645,$H$3:$H$1460),3)</f>
        <v>116.4</v>
      </c>
    </row>
    <row r="646" spans="1:13" x14ac:dyDescent="0.25">
      <c r="A646" s="7">
        <v>646</v>
      </c>
      <c r="B646" s="6" t="s">
        <v>97</v>
      </c>
      <c r="C646" s="7">
        <v>5359822</v>
      </c>
      <c r="D646" s="23" t="s">
        <v>318</v>
      </c>
      <c r="E646" s="6" t="s">
        <v>319</v>
      </c>
      <c r="F646" s="21" t="s">
        <v>35</v>
      </c>
      <c r="G646" s="6" t="s">
        <v>579</v>
      </c>
      <c r="H646" s="22">
        <v>44.9</v>
      </c>
      <c r="I646" s="9">
        <v>2</v>
      </c>
      <c r="J646" s="22">
        <f t="shared" si="7"/>
        <v>89.8</v>
      </c>
      <c r="K646" s="9">
        <f t="array" ref="K646">QUARTILE(IF($F$3:$F$1460=$F646,$H$3:$H$1460),1)</f>
        <v>78.449999999999989</v>
      </c>
      <c r="L646" s="9">
        <f t="array" ref="L646">QUARTILE(IF($F$3:$F$1460=$F646,$H$3:$H$1460),2)</f>
        <v>112</v>
      </c>
      <c r="M646" s="9">
        <f t="array" ref="M646">QUARTILE(IF($F$3:$F$1460=$F646,$H$3:$H$1460),3)</f>
        <v>146</v>
      </c>
    </row>
    <row r="647" spans="1:13" x14ac:dyDescent="0.25">
      <c r="A647" s="7">
        <v>647</v>
      </c>
      <c r="B647" s="6" t="s">
        <v>97</v>
      </c>
      <c r="C647" s="7">
        <v>5359822</v>
      </c>
      <c r="D647" s="23" t="s">
        <v>318</v>
      </c>
      <c r="E647" s="6" t="s">
        <v>319</v>
      </c>
      <c r="F647" s="21" t="s">
        <v>580</v>
      </c>
      <c r="G647" s="6" t="s">
        <v>581</v>
      </c>
      <c r="H647" s="22">
        <v>28.4</v>
      </c>
      <c r="I647" s="9">
        <v>2</v>
      </c>
      <c r="J647" s="22">
        <f t="shared" si="7"/>
        <v>56.8</v>
      </c>
      <c r="K647" s="9">
        <f t="array" ref="K647">QUARTILE(IF($F$3:$F$1460=$F647,$H$3:$H$1460),1)</f>
        <v>1759.125</v>
      </c>
      <c r="L647" s="9">
        <f t="array" ref="L647">QUARTILE(IF($F$3:$F$1460=$F647,$H$3:$H$1460),2)</f>
        <v>3923.7249999999999</v>
      </c>
      <c r="M647" s="9">
        <f t="array" ref="M647">QUARTILE(IF($F$3:$F$1460=$F647,$H$3:$H$1460),3)</f>
        <v>12062.504999999999</v>
      </c>
    </row>
    <row r="648" spans="1:13" x14ac:dyDescent="0.25">
      <c r="A648" s="7">
        <v>648</v>
      </c>
      <c r="B648" s="6" t="s">
        <v>97</v>
      </c>
      <c r="C648" s="7">
        <v>4431412</v>
      </c>
      <c r="D648" s="23" t="s">
        <v>582</v>
      </c>
      <c r="E648" s="6" t="s">
        <v>583</v>
      </c>
      <c r="F648" s="21" t="s">
        <v>60</v>
      </c>
      <c r="G648" s="45" t="s">
        <v>584</v>
      </c>
      <c r="H648" s="22">
        <v>576</v>
      </c>
      <c r="I648" s="9">
        <v>550</v>
      </c>
      <c r="J648" s="22">
        <f t="shared" si="7"/>
        <v>316800</v>
      </c>
      <c r="K648" s="9">
        <f t="array" ref="K648">QUARTILE(IF($F$3:$F$1460=$F648,$H$3:$H$1460),1)</f>
        <v>680</v>
      </c>
      <c r="L648" s="9">
        <f t="array" ref="L648">QUARTILE(IF($F$3:$F$1460=$F648,$H$3:$H$1460),2)</f>
        <v>991</v>
      </c>
      <c r="M648" s="9">
        <f t="array" ref="M648">QUARTILE(IF($F$3:$F$1460=$F648,$H$3:$H$1460),3)</f>
        <v>1485.8333333333335</v>
      </c>
    </row>
    <row r="649" spans="1:13" x14ac:dyDescent="0.25">
      <c r="A649" s="7">
        <v>649</v>
      </c>
      <c r="B649" s="6" t="s">
        <v>97</v>
      </c>
      <c r="C649" s="7">
        <v>4431412</v>
      </c>
      <c r="D649" s="23" t="s">
        <v>582</v>
      </c>
      <c r="E649" s="6" t="s">
        <v>583</v>
      </c>
      <c r="F649" s="21" t="s">
        <v>60</v>
      </c>
      <c r="G649" s="45" t="s">
        <v>585</v>
      </c>
      <c r="H649" s="22">
        <v>815.3</v>
      </c>
      <c r="I649" s="9">
        <v>300</v>
      </c>
      <c r="J649" s="22">
        <f t="shared" si="7"/>
        <v>244590</v>
      </c>
      <c r="K649" s="9">
        <f t="array" ref="K649">QUARTILE(IF($F$3:$F$1460=$F649,$H$3:$H$1460),1)</f>
        <v>680</v>
      </c>
      <c r="L649" s="9">
        <f t="array" ref="L649">QUARTILE(IF($F$3:$F$1460=$F649,$H$3:$H$1460),2)</f>
        <v>991</v>
      </c>
      <c r="M649" s="9">
        <f t="array" ref="M649">QUARTILE(IF($F$3:$F$1460=$F649,$H$3:$H$1460),3)</f>
        <v>1485.8333333333335</v>
      </c>
    </row>
    <row r="650" spans="1:13" x14ac:dyDescent="0.25">
      <c r="A650" s="7">
        <v>650</v>
      </c>
      <c r="B650" s="6" t="s">
        <v>97</v>
      </c>
      <c r="C650" s="7">
        <v>4431412</v>
      </c>
      <c r="D650" s="23" t="s">
        <v>582</v>
      </c>
      <c r="E650" s="6" t="s">
        <v>583</v>
      </c>
      <c r="F650" s="21" t="s">
        <v>44</v>
      </c>
      <c r="G650" s="45" t="s">
        <v>586</v>
      </c>
      <c r="H650" s="22">
        <v>183.92</v>
      </c>
      <c r="I650" s="9">
        <v>620</v>
      </c>
      <c r="J650" s="22">
        <f t="shared" si="7"/>
        <v>114030.39999999999</v>
      </c>
      <c r="K650" s="9">
        <f t="array" ref="K650">QUARTILE(IF($F$3:$F$1460=$F650,$H$3:$H$1460),1)</f>
        <v>141.67500000000001</v>
      </c>
      <c r="L650" s="9">
        <f t="array" ref="L650">QUARTILE(IF($F$3:$F$1460=$F650,$H$3:$H$1460),2)</f>
        <v>194</v>
      </c>
      <c r="M650" s="9">
        <f t="array" ref="M650">QUARTILE(IF($F$3:$F$1460=$F650,$H$3:$H$1460),3)</f>
        <v>266.75</v>
      </c>
    </row>
    <row r="651" spans="1:13" x14ac:dyDescent="0.25">
      <c r="A651" s="7">
        <v>651</v>
      </c>
      <c r="B651" s="6" t="s">
        <v>97</v>
      </c>
      <c r="C651" s="7">
        <v>4431412</v>
      </c>
      <c r="D651" s="23" t="s">
        <v>582</v>
      </c>
      <c r="E651" s="6" t="s">
        <v>583</v>
      </c>
      <c r="F651" s="21" t="s">
        <v>44</v>
      </c>
      <c r="G651" s="45" t="s">
        <v>587</v>
      </c>
      <c r="H651" s="22">
        <v>239</v>
      </c>
      <c r="I651" s="9">
        <v>600</v>
      </c>
      <c r="J651" s="22">
        <f t="shared" si="7"/>
        <v>143400</v>
      </c>
      <c r="K651" s="9">
        <f t="array" ref="K651">QUARTILE(IF($F$3:$F$1460=$F651,$H$3:$H$1460),1)</f>
        <v>141.67500000000001</v>
      </c>
      <c r="L651" s="9">
        <f t="array" ref="L651">QUARTILE(IF($F$3:$F$1460=$F651,$H$3:$H$1460),2)</f>
        <v>194</v>
      </c>
      <c r="M651" s="9">
        <f t="array" ref="M651">QUARTILE(IF($F$3:$F$1460=$F651,$H$3:$H$1460),3)</f>
        <v>266.75</v>
      </c>
    </row>
    <row r="652" spans="1:13" x14ac:dyDescent="0.25">
      <c r="A652" s="7">
        <v>652</v>
      </c>
      <c r="B652" s="6" t="s">
        <v>97</v>
      </c>
      <c r="C652" s="7">
        <v>4431412</v>
      </c>
      <c r="D652" s="23" t="s">
        <v>582</v>
      </c>
      <c r="E652" s="6" t="s">
        <v>583</v>
      </c>
      <c r="F652" s="21" t="s">
        <v>62</v>
      </c>
      <c r="G652" s="30" t="s">
        <v>588</v>
      </c>
      <c r="H652" s="22">
        <v>1129.1099999999999</v>
      </c>
      <c r="I652" s="9">
        <v>130</v>
      </c>
      <c r="J652" s="22">
        <f t="shared" si="7"/>
        <v>146784.29999999999</v>
      </c>
      <c r="K652" s="9">
        <f t="array" ref="K652">QUARTILE(IF($F$3:$F$1460=$F652,$H$3:$H$1460),1)</f>
        <v>783.15</v>
      </c>
      <c r="L652" s="9">
        <f t="array" ref="L652">QUARTILE(IF($F$3:$F$1460=$F652,$H$3:$H$1460),2)</f>
        <v>1196.3</v>
      </c>
      <c r="M652" s="9">
        <f t="array" ref="M652">QUARTILE(IF($F$3:$F$1460=$F652,$H$3:$H$1460),3)</f>
        <v>1455.5</v>
      </c>
    </row>
    <row r="653" spans="1:13" x14ac:dyDescent="0.25">
      <c r="A653" s="7">
        <v>653</v>
      </c>
      <c r="B653" s="6" t="s">
        <v>97</v>
      </c>
      <c r="C653" s="7">
        <v>4431412</v>
      </c>
      <c r="D653" s="23" t="s">
        <v>582</v>
      </c>
      <c r="E653" s="6" t="s">
        <v>583</v>
      </c>
      <c r="F653" s="21" t="s">
        <v>62</v>
      </c>
      <c r="G653" s="30" t="s">
        <v>589</v>
      </c>
      <c r="H653" s="22">
        <v>1432.3</v>
      </c>
      <c r="I653" s="9">
        <v>50</v>
      </c>
      <c r="J653" s="22">
        <f t="shared" si="7"/>
        <v>71615</v>
      </c>
      <c r="K653" s="9">
        <f t="array" ref="K653">QUARTILE(IF($F$3:$F$1460=$F653,$H$3:$H$1460),1)</f>
        <v>783.15</v>
      </c>
      <c r="L653" s="9">
        <f t="array" ref="L653">QUARTILE(IF($F$3:$F$1460=$F653,$H$3:$H$1460),2)</f>
        <v>1196.3</v>
      </c>
      <c r="M653" s="9">
        <f t="array" ref="M653">QUARTILE(IF($F$3:$F$1460=$F653,$H$3:$H$1460),3)</f>
        <v>1455.5</v>
      </c>
    </row>
    <row r="654" spans="1:13" x14ac:dyDescent="0.25">
      <c r="A654" s="7">
        <v>654</v>
      </c>
      <c r="B654" s="6" t="s">
        <v>97</v>
      </c>
      <c r="C654" s="7">
        <v>4431412</v>
      </c>
      <c r="D654" s="23" t="s">
        <v>582</v>
      </c>
      <c r="E654" s="6" t="s">
        <v>583</v>
      </c>
      <c r="F654" s="21" t="s">
        <v>62</v>
      </c>
      <c r="G654" s="30" t="s">
        <v>590</v>
      </c>
      <c r="H654" s="22">
        <v>2440.4</v>
      </c>
      <c r="I654" s="9">
        <v>110</v>
      </c>
      <c r="J654" s="22">
        <f t="shared" si="7"/>
        <v>268444</v>
      </c>
      <c r="K654" s="9">
        <f t="array" ref="K654">QUARTILE(IF($F$3:$F$1460=$F654,$H$3:$H$1460),1)</f>
        <v>783.15</v>
      </c>
      <c r="L654" s="9">
        <f t="array" ref="L654">QUARTILE(IF($F$3:$F$1460=$F654,$H$3:$H$1460),2)</f>
        <v>1196.3</v>
      </c>
      <c r="M654" s="9">
        <f t="array" ref="M654">QUARTILE(IF($F$3:$F$1460=$F654,$H$3:$H$1460),3)</f>
        <v>1455.5</v>
      </c>
    </row>
    <row r="655" spans="1:13" x14ac:dyDescent="0.25">
      <c r="A655" s="7">
        <v>655</v>
      </c>
      <c r="B655" s="6" t="s">
        <v>97</v>
      </c>
      <c r="C655" s="7">
        <v>4431412</v>
      </c>
      <c r="D655" s="23" t="s">
        <v>582</v>
      </c>
      <c r="E655" s="6" t="s">
        <v>583</v>
      </c>
      <c r="F655" s="21" t="s">
        <v>50</v>
      </c>
      <c r="G655" s="6" t="s">
        <v>591</v>
      </c>
      <c r="H655" s="22">
        <v>248.16</v>
      </c>
      <c r="I655" s="9">
        <v>50</v>
      </c>
      <c r="J655" s="22">
        <f t="shared" si="7"/>
        <v>12408</v>
      </c>
      <c r="K655" s="9">
        <f t="array" ref="K655">QUARTILE(IF($F$3:$F$1460=$F655,$H$3:$H$1460),1)</f>
        <v>307.64999999999998</v>
      </c>
      <c r="L655" s="9">
        <f t="array" ref="L655">QUARTILE(IF($F$3:$F$1460=$F655,$H$3:$H$1460),2)</f>
        <v>533.63</v>
      </c>
      <c r="M655" s="9">
        <f t="array" ref="M655">QUARTILE(IF($F$3:$F$1460=$F655,$H$3:$H$1460),3)</f>
        <v>761.32</v>
      </c>
    </row>
    <row r="656" spans="1:13" x14ac:dyDescent="0.25">
      <c r="A656" s="7">
        <v>656</v>
      </c>
      <c r="B656" s="6" t="s">
        <v>97</v>
      </c>
      <c r="C656" s="7">
        <v>4431412</v>
      </c>
      <c r="D656" s="23" t="s">
        <v>582</v>
      </c>
      <c r="E656" s="6" t="s">
        <v>583</v>
      </c>
      <c r="F656" s="21" t="s">
        <v>50</v>
      </c>
      <c r="G656" s="6" t="s">
        <v>592</v>
      </c>
      <c r="H656" s="22">
        <v>902.3</v>
      </c>
      <c r="I656" s="9">
        <v>15</v>
      </c>
      <c r="J656" s="22">
        <f t="shared" si="7"/>
        <v>13534.5</v>
      </c>
      <c r="K656" s="9">
        <f t="array" ref="K656">QUARTILE(IF($F$3:$F$1460=$F656,$H$3:$H$1460),1)</f>
        <v>307.64999999999998</v>
      </c>
      <c r="L656" s="9">
        <f t="array" ref="L656">QUARTILE(IF($F$3:$F$1460=$F656,$H$3:$H$1460),2)</f>
        <v>533.63</v>
      </c>
      <c r="M656" s="9">
        <f t="array" ref="M656">QUARTILE(IF($F$3:$F$1460=$F656,$H$3:$H$1460),3)</f>
        <v>761.32</v>
      </c>
    </row>
    <row r="657" spans="1:13" x14ac:dyDescent="0.25">
      <c r="A657" s="7">
        <v>657</v>
      </c>
      <c r="B657" s="6" t="s">
        <v>97</v>
      </c>
      <c r="C657" s="7">
        <v>4431412</v>
      </c>
      <c r="D657" s="23" t="s">
        <v>582</v>
      </c>
      <c r="E657" s="6" t="s">
        <v>583</v>
      </c>
      <c r="F657" s="21" t="s">
        <v>50</v>
      </c>
      <c r="G657" s="6" t="s">
        <v>593</v>
      </c>
      <c r="H657" s="22">
        <v>282.5</v>
      </c>
      <c r="I657" s="9">
        <v>20</v>
      </c>
      <c r="J657" s="22">
        <f t="shared" si="7"/>
        <v>5650</v>
      </c>
      <c r="K657" s="9">
        <f t="array" ref="K657">QUARTILE(IF($F$3:$F$1460=$F657,$H$3:$H$1460),1)</f>
        <v>307.64999999999998</v>
      </c>
      <c r="L657" s="9">
        <f t="array" ref="L657">QUARTILE(IF($F$3:$F$1460=$F657,$H$3:$H$1460),2)</f>
        <v>533.63</v>
      </c>
      <c r="M657" s="9">
        <f t="array" ref="M657">QUARTILE(IF($F$3:$F$1460=$F657,$H$3:$H$1460),3)</f>
        <v>761.32</v>
      </c>
    </row>
    <row r="658" spans="1:13" x14ac:dyDescent="0.25">
      <c r="A658" s="7">
        <v>658</v>
      </c>
      <c r="B658" s="6" t="s">
        <v>97</v>
      </c>
      <c r="C658" s="7">
        <v>4431412</v>
      </c>
      <c r="D658" s="23" t="s">
        <v>582</v>
      </c>
      <c r="E658" s="6" t="s">
        <v>583</v>
      </c>
      <c r="F658" s="21" t="s">
        <v>62</v>
      </c>
      <c r="G658" s="30" t="s">
        <v>594</v>
      </c>
      <c r="H658" s="22">
        <v>1148.42</v>
      </c>
      <c r="I658" s="9">
        <v>30</v>
      </c>
      <c r="J658" s="22">
        <f t="shared" si="7"/>
        <v>34452.600000000006</v>
      </c>
      <c r="K658" s="9">
        <f t="array" ref="K658">QUARTILE(IF($F$3:$F$1460=$F658,$H$3:$H$1460),1)</f>
        <v>783.15</v>
      </c>
      <c r="L658" s="9">
        <f t="array" ref="L658">QUARTILE(IF($F$3:$F$1460=$F658,$H$3:$H$1460),2)</f>
        <v>1196.3</v>
      </c>
      <c r="M658" s="9">
        <f t="array" ref="M658">QUARTILE(IF($F$3:$F$1460=$F658,$H$3:$H$1460),3)</f>
        <v>1455.5</v>
      </c>
    </row>
    <row r="659" spans="1:13" x14ac:dyDescent="0.25">
      <c r="A659" s="7">
        <v>659</v>
      </c>
      <c r="B659" s="6" t="s">
        <v>97</v>
      </c>
      <c r="C659" s="7">
        <v>4431412</v>
      </c>
      <c r="D659" s="23" t="s">
        <v>582</v>
      </c>
      <c r="E659" s="6" t="s">
        <v>583</v>
      </c>
      <c r="F659" s="21" t="s">
        <v>32</v>
      </c>
      <c r="G659" s="45" t="s">
        <v>595</v>
      </c>
      <c r="H659" s="22">
        <v>105.35</v>
      </c>
      <c r="I659" s="9">
        <v>850</v>
      </c>
      <c r="J659" s="22">
        <f t="shared" si="7"/>
        <v>89547.5</v>
      </c>
      <c r="K659" s="9">
        <f t="array" ref="K659">QUARTILE(IF($F$3:$F$1460=$F659,$H$3:$H$1460),1)</f>
        <v>59.227499999999999</v>
      </c>
      <c r="L659" s="9">
        <f t="array" ref="L659">QUARTILE(IF($F$3:$F$1460=$F659,$H$3:$H$1460),2)</f>
        <v>332.14</v>
      </c>
      <c r="M659" s="9">
        <f t="array" ref="M659">QUARTILE(IF($F$3:$F$1460=$F659,$H$3:$H$1460),3)</f>
        <v>1331.8050000000001</v>
      </c>
    </row>
    <row r="660" spans="1:13" x14ac:dyDescent="0.25">
      <c r="A660" s="7">
        <v>660</v>
      </c>
      <c r="B660" s="6" t="s">
        <v>97</v>
      </c>
      <c r="C660" s="7">
        <v>4431412</v>
      </c>
      <c r="D660" s="23" t="s">
        <v>582</v>
      </c>
      <c r="E660" s="6" t="s">
        <v>583</v>
      </c>
      <c r="F660" s="21" t="s">
        <v>32</v>
      </c>
      <c r="G660" s="45" t="s">
        <v>596</v>
      </c>
      <c r="H660" s="22">
        <v>125.3</v>
      </c>
      <c r="I660" s="9">
        <v>12</v>
      </c>
      <c r="J660" s="22">
        <f t="shared" ref="J660:J911" si="8">I660*H660</f>
        <v>1503.6</v>
      </c>
      <c r="K660" s="9">
        <f t="array" ref="K660">QUARTILE(IF($F$3:$F$1460=$F660,$H$3:$H$1460),1)</f>
        <v>59.227499999999999</v>
      </c>
      <c r="L660" s="9">
        <f t="array" ref="L660">QUARTILE(IF($F$3:$F$1460=$F660,$H$3:$H$1460),2)</f>
        <v>332.14</v>
      </c>
      <c r="M660" s="9">
        <f t="array" ref="M660">QUARTILE(IF($F$3:$F$1460=$F660,$H$3:$H$1460),3)</f>
        <v>1331.8050000000001</v>
      </c>
    </row>
    <row r="661" spans="1:13" x14ac:dyDescent="0.25">
      <c r="A661" s="7">
        <v>661</v>
      </c>
      <c r="B661" s="6" t="s">
        <v>97</v>
      </c>
      <c r="C661" s="7">
        <v>4431412</v>
      </c>
      <c r="D661" s="23" t="s">
        <v>582</v>
      </c>
      <c r="E661" s="6" t="s">
        <v>583</v>
      </c>
      <c r="F661" s="21" t="s">
        <v>31</v>
      </c>
      <c r="G661" s="6" t="s">
        <v>597</v>
      </c>
      <c r="H661" s="22">
        <v>78.900000000000006</v>
      </c>
      <c r="I661" s="9">
        <v>200</v>
      </c>
      <c r="J661" s="22">
        <f t="shared" si="8"/>
        <v>15780.000000000002</v>
      </c>
      <c r="K661" s="9">
        <f t="array" ref="K661">QUARTILE(IF($F$3:$F$1460=$F661,$H$3:$H$1460),1)</f>
        <v>55.5</v>
      </c>
      <c r="L661" s="9">
        <f t="array" ref="L661">QUARTILE(IF($F$3:$F$1460=$F661,$H$3:$H$1460),2)</f>
        <v>91.88</v>
      </c>
      <c r="M661" s="9">
        <f t="array" ref="M661">QUARTILE(IF($F$3:$F$1460=$F661,$H$3:$H$1460),3)</f>
        <v>148.36000000000001</v>
      </c>
    </row>
    <row r="662" spans="1:13" x14ac:dyDescent="0.25">
      <c r="A662" s="7">
        <v>662</v>
      </c>
      <c r="B662" s="6" t="s">
        <v>97</v>
      </c>
      <c r="C662" s="7">
        <v>4431412</v>
      </c>
      <c r="D662" s="23" t="s">
        <v>582</v>
      </c>
      <c r="E662" s="6" t="s">
        <v>583</v>
      </c>
      <c r="F662" s="21" t="s">
        <v>31</v>
      </c>
      <c r="G662" s="6" t="s">
        <v>598</v>
      </c>
      <c r="H662" s="22">
        <v>69.7</v>
      </c>
      <c r="I662" s="9">
        <v>200</v>
      </c>
      <c r="J662" s="22">
        <f t="shared" si="8"/>
        <v>13940</v>
      </c>
      <c r="K662" s="9">
        <f t="array" ref="K662">QUARTILE(IF($F$3:$F$1460=$F662,$H$3:$H$1460),1)</f>
        <v>55.5</v>
      </c>
      <c r="L662" s="9">
        <f t="array" ref="L662">QUARTILE(IF($F$3:$F$1460=$F662,$H$3:$H$1460),2)</f>
        <v>91.88</v>
      </c>
      <c r="M662" s="9">
        <f t="array" ref="M662">QUARTILE(IF($F$3:$F$1460=$F662,$H$3:$H$1460),3)</f>
        <v>148.36000000000001</v>
      </c>
    </row>
    <row r="663" spans="1:13" x14ac:dyDescent="0.25">
      <c r="A663" s="7">
        <v>663</v>
      </c>
      <c r="B663" s="6" t="s">
        <v>97</v>
      </c>
      <c r="C663" s="7">
        <v>4431412</v>
      </c>
      <c r="D663" s="23" t="s">
        <v>582</v>
      </c>
      <c r="E663" s="6" t="s">
        <v>583</v>
      </c>
      <c r="F663" s="21" t="s">
        <v>8</v>
      </c>
      <c r="G663" s="6" t="s">
        <v>599</v>
      </c>
      <c r="H663" s="22">
        <v>4.0999999999999996</v>
      </c>
      <c r="I663" s="9">
        <v>350</v>
      </c>
      <c r="J663" s="22">
        <f t="shared" si="8"/>
        <v>1434.9999999999998</v>
      </c>
      <c r="K663" s="9">
        <f t="array" ref="K663">QUARTILE(IF($F$3:$F$1460=$F663,$H$3:$H$1460),1)</f>
        <v>4.9000000000000004</v>
      </c>
      <c r="L663" s="9">
        <f t="array" ref="L663">QUARTILE(IF($F$3:$F$1460=$F663,$H$3:$H$1460),2)</f>
        <v>8.4</v>
      </c>
      <c r="M663" s="9">
        <f t="array" ref="M663">QUARTILE(IF($F$3:$F$1460=$F663,$H$3:$H$1460),3)</f>
        <v>14</v>
      </c>
    </row>
    <row r="664" spans="1:13" x14ac:dyDescent="0.25">
      <c r="A664" s="7">
        <v>664</v>
      </c>
      <c r="B664" s="6" t="s">
        <v>97</v>
      </c>
      <c r="C664" s="7">
        <v>4431412</v>
      </c>
      <c r="D664" s="23" t="s">
        <v>582</v>
      </c>
      <c r="E664" s="6" t="s">
        <v>583</v>
      </c>
      <c r="F664" s="21" t="s">
        <v>8</v>
      </c>
      <c r="G664" s="6" t="s">
        <v>600</v>
      </c>
      <c r="H664" s="22">
        <v>5.2</v>
      </c>
      <c r="I664" s="9">
        <v>350</v>
      </c>
      <c r="J664" s="22">
        <f t="shared" si="8"/>
        <v>1820</v>
      </c>
      <c r="K664" s="9">
        <f t="array" ref="K664">QUARTILE(IF($F$3:$F$1460=$F664,$H$3:$H$1460),1)</f>
        <v>4.9000000000000004</v>
      </c>
      <c r="L664" s="9">
        <f t="array" ref="L664">QUARTILE(IF($F$3:$F$1460=$F664,$H$3:$H$1460),2)</f>
        <v>8.4</v>
      </c>
      <c r="M664" s="9">
        <f t="array" ref="M664">QUARTILE(IF($F$3:$F$1460=$F664,$H$3:$H$1460),3)</f>
        <v>14</v>
      </c>
    </row>
    <row r="665" spans="1:13" x14ac:dyDescent="0.25">
      <c r="A665" s="7">
        <v>665</v>
      </c>
      <c r="B665" s="6" t="s">
        <v>97</v>
      </c>
      <c r="C665" s="7">
        <v>4431412</v>
      </c>
      <c r="D665" s="23" t="s">
        <v>582</v>
      </c>
      <c r="E665" s="6" t="s">
        <v>583</v>
      </c>
      <c r="F665" s="21" t="s">
        <v>8</v>
      </c>
      <c r="G665" s="6" t="s">
        <v>601</v>
      </c>
      <c r="H665" s="22">
        <v>9.6999999999999993</v>
      </c>
      <c r="I665" s="9">
        <v>300</v>
      </c>
      <c r="J665" s="22">
        <f t="shared" si="8"/>
        <v>2910</v>
      </c>
      <c r="K665" s="9">
        <f t="array" ref="K665">QUARTILE(IF($F$3:$F$1460=$F665,$H$3:$H$1460),1)</f>
        <v>4.9000000000000004</v>
      </c>
      <c r="L665" s="9">
        <f t="array" ref="L665">QUARTILE(IF($F$3:$F$1460=$F665,$H$3:$H$1460),2)</f>
        <v>8.4</v>
      </c>
      <c r="M665" s="9">
        <f t="array" ref="M665">QUARTILE(IF($F$3:$F$1460=$F665,$H$3:$H$1460),3)</f>
        <v>14</v>
      </c>
    </row>
    <row r="666" spans="1:13" x14ac:dyDescent="0.25">
      <c r="A666" s="7">
        <v>666</v>
      </c>
      <c r="B666" s="6" t="s">
        <v>97</v>
      </c>
      <c r="C666" s="7">
        <v>4431412</v>
      </c>
      <c r="D666" s="23" t="s">
        <v>582</v>
      </c>
      <c r="E666" s="6" t="s">
        <v>583</v>
      </c>
      <c r="F666" s="21" t="s">
        <v>8</v>
      </c>
      <c r="G666" s="6" t="s">
        <v>602</v>
      </c>
      <c r="H666" s="22">
        <v>40.200000000000003</v>
      </c>
      <c r="I666" s="9">
        <v>300</v>
      </c>
      <c r="J666" s="22">
        <f t="shared" si="8"/>
        <v>12060</v>
      </c>
      <c r="K666" s="9">
        <f t="array" ref="K666">QUARTILE(IF($F$3:$F$1460=$F666,$H$3:$H$1460),1)</f>
        <v>4.9000000000000004</v>
      </c>
      <c r="L666" s="9">
        <f t="array" ref="L666">QUARTILE(IF($F$3:$F$1460=$F666,$H$3:$H$1460),2)</f>
        <v>8.4</v>
      </c>
      <c r="M666" s="9">
        <f t="array" ref="M666">QUARTILE(IF($F$3:$F$1460=$F666,$H$3:$H$1460),3)</f>
        <v>14</v>
      </c>
    </row>
    <row r="667" spans="1:13" x14ac:dyDescent="0.25">
      <c r="A667" s="7">
        <v>667</v>
      </c>
      <c r="B667" s="6" t="s">
        <v>97</v>
      </c>
      <c r="C667" s="7">
        <v>4431412</v>
      </c>
      <c r="D667" s="23" t="s">
        <v>582</v>
      </c>
      <c r="E667" s="6" t="s">
        <v>583</v>
      </c>
      <c r="F667" s="21" t="s">
        <v>7</v>
      </c>
      <c r="G667" s="6" t="s">
        <v>603</v>
      </c>
      <c r="H667" s="22">
        <v>4.55</v>
      </c>
      <c r="I667" s="9">
        <v>50</v>
      </c>
      <c r="J667" s="22">
        <f t="shared" si="8"/>
        <v>227.5</v>
      </c>
      <c r="K667" s="9">
        <f t="array" ref="K667">QUARTILE(IF($F$3:$F$1460=$F667,$H$3:$H$1460),1)</f>
        <v>4.8</v>
      </c>
      <c r="L667" s="9">
        <f t="array" ref="L667">QUARTILE(IF($F$3:$F$1460=$F667,$H$3:$H$1460),2)</f>
        <v>6.58</v>
      </c>
      <c r="M667" s="9">
        <f t="array" ref="M667">QUARTILE(IF($F$3:$F$1460=$F667,$H$3:$H$1460),3)</f>
        <v>6.9</v>
      </c>
    </row>
    <row r="668" spans="1:13" x14ac:dyDescent="0.25">
      <c r="A668" s="7">
        <v>668</v>
      </c>
      <c r="B668" s="6" t="s">
        <v>97</v>
      </c>
      <c r="C668" s="7">
        <v>4431412</v>
      </c>
      <c r="D668" s="23" t="s">
        <v>582</v>
      </c>
      <c r="E668" s="6" t="s">
        <v>583</v>
      </c>
      <c r="F668" s="21" t="s">
        <v>16</v>
      </c>
      <c r="G668" s="6" t="s">
        <v>604</v>
      </c>
      <c r="H668" s="22">
        <v>17.2</v>
      </c>
      <c r="I668" s="9">
        <v>50</v>
      </c>
      <c r="J668" s="22">
        <f t="shared" si="8"/>
        <v>860</v>
      </c>
      <c r="K668" s="9">
        <f t="array" ref="K668">QUARTILE(IF($F$3:$F$1460=$F668,$H$3:$H$1460),1)</f>
        <v>14.8</v>
      </c>
      <c r="L668" s="9">
        <f t="array" ref="L668">QUARTILE(IF($F$3:$F$1460=$F668,$H$3:$H$1460),2)</f>
        <v>19.5</v>
      </c>
      <c r="M668" s="9">
        <f t="array" ref="M668">QUARTILE(IF($F$3:$F$1460=$F668,$H$3:$H$1460),3)</f>
        <v>31.25</v>
      </c>
    </row>
    <row r="669" spans="1:13" x14ac:dyDescent="0.25">
      <c r="A669" s="7">
        <v>669</v>
      </c>
      <c r="B669" s="6" t="s">
        <v>97</v>
      </c>
      <c r="C669" s="7">
        <v>4431412</v>
      </c>
      <c r="D669" s="23" t="s">
        <v>582</v>
      </c>
      <c r="E669" s="6" t="s">
        <v>583</v>
      </c>
      <c r="F669" s="21" t="s">
        <v>16</v>
      </c>
      <c r="G669" s="6" t="s">
        <v>605</v>
      </c>
      <c r="H669" s="22">
        <v>10.5</v>
      </c>
      <c r="I669" s="9">
        <v>10</v>
      </c>
      <c r="J669" s="22">
        <f t="shared" si="8"/>
        <v>105</v>
      </c>
      <c r="K669" s="9">
        <f t="array" ref="K669">QUARTILE(IF($F$3:$F$1460=$F669,$H$3:$H$1460),1)</f>
        <v>14.8</v>
      </c>
      <c r="L669" s="9">
        <f t="array" ref="L669">QUARTILE(IF($F$3:$F$1460=$F669,$H$3:$H$1460),2)</f>
        <v>19.5</v>
      </c>
      <c r="M669" s="9">
        <f t="array" ref="M669">QUARTILE(IF($F$3:$F$1460=$F669,$H$3:$H$1460),3)</f>
        <v>31.25</v>
      </c>
    </row>
    <row r="670" spans="1:13" x14ac:dyDescent="0.25">
      <c r="A670" s="7">
        <v>670</v>
      </c>
      <c r="B670" s="6" t="s">
        <v>97</v>
      </c>
      <c r="C670" s="7">
        <v>4431412</v>
      </c>
      <c r="D670" s="23" t="s">
        <v>582</v>
      </c>
      <c r="E670" s="6" t="s">
        <v>583</v>
      </c>
      <c r="F670" s="21" t="s">
        <v>9</v>
      </c>
      <c r="G670" s="6" t="s">
        <v>606</v>
      </c>
      <c r="H670" s="22">
        <v>3.5</v>
      </c>
      <c r="I670" s="9">
        <v>300</v>
      </c>
      <c r="J670" s="22">
        <f t="shared" si="8"/>
        <v>1050</v>
      </c>
      <c r="K670" s="9">
        <f t="array" ref="K670">QUARTILE(IF($F$3:$F$1460=$F670,$H$3:$H$1460),1)</f>
        <v>5.1899999999999995</v>
      </c>
      <c r="L670" s="9">
        <f t="array" ref="L670">QUARTILE(IF($F$3:$F$1460=$F670,$H$3:$H$1460),2)</f>
        <v>8.5</v>
      </c>
      <c r="M670" s="9">
        <f t="array" ref="M670">QUARTILE(IF($F$3:$F$1460=$F670,$H$3:$H$1460),3)</f>
        <v>21.95</v>
      </c>
    </row>
    <row r="671" spans="1:13" x14ac:dyDescent="0.25">
      <c r="A671" s="7">
        <v>671</v>
      </c>
      <c r="B671" s="6" t="s">
        <v>97</v>
      </c>
      <c r="C671" s="7">
        <v>4431412</v>
      </c>
      <c r="D671" s="23" t="s">
        <v>582</v>
      </c>
      <c r="E671" s="6" t="s">
        <v>583</v>
      </c>
      <c r="F671" s="21" t="s">
        <v>9</v>
      </c>
      <c r="G671" s="6" t="s">
        <v>607</v>
      </c>
      <c r="H671" s="22">
        <v>6.8</v>
      </c>
      <c r="I671" s="9">
        <v>100</v>
      </c>
      <c r="J671" s="22">
        <f t="shared" si="8"/>
        <v>680</v>
      </c>
      <c r="K671" s="9">
        <f t="array" ref="K671">QUARTILE(IF($F$3:$F$1460=$F671,$H$3:$H$1460),1)</f>
        <v>5.1899999999999995</v>
      </c>
      <c r="L671" s="9">
        <f t="array" ref="L671">QUARTILE(IF($F$3:$F$1460=$F671,$H$3:$H$1460),2)</f>
        <v>8.5</v>
      </c>
      <c r="M671" s="9">
        <f t="array" ref="M671">QUARTILE(IF($F$3:$F$1460=$F671,$H$3:$H$1460),3)</f>
        <v>21.95</v>
      </c>
    </row>
    <row r="672" spans="1:13" x14ac:dyDescent="0.25">
      <c r="A672" s="7">
        <v>672</v>
      </c>
      <c r="B672" s="6" t="s">
        <v>97</v>
      </c>
      <c r="C672" s="7">
        <v>4431412</v>
      </c>
      <c r="D672" s="23" t="s">
        <v>582</v>
      </c>
      <c r="E672" s="6" t="s">
        <v>583</v>
      </c>
      <c r="F672" s="21" t="s">
        <v>6</v>
      </c>
      <c r="G672" s="6" t="s">
        <v>608</v>
      </c>
      <c r="H672" s="22">
        <v>1.85</v>
      </c>
      <c r="I672" s="9">
        <v>300</v>
      </c>
      <c r="J672" s="22">
        <f t="shared" si="8"/>
        <v>555</v>
      </c>
      <c r="K672" s="9">
        <f t="array" ref="K672">QUARTILE(IF($F$3:$F$1460=$F672,$H$3:$H$1460),1)</f>
        <v>4.25</v>
      </c>
      <c r="L672" s="9">
        <f t="array" ref="L672">QUARTILE(IF($F$3:$F$1460=$F672,$H$3:$H$1460),2)</f>
        <v>6.12</v>
      </c>
      <c r="M672" s="9">
        <f t="array" ref="M672">QUARTILE(IF($F$3:$F$1460=$F672,$H$3:$H$1460),3)</f>
        <v>13.55</v>
      </c>
    </row>
    <row r="673" spans="1:13" x14ac:dyDescent="0.25">
      <c r="A673" s="7">
        <v>673</v>
      </c>
      <c r="B673" s="6" t="s">
        <v>97</v>
      </c>
      <c r="C673" s="7">
        <v>4431412</v>
      </c>
      <c r="D673" s="23" t="s">
        <v>582</v>
      </c>
      <c r="E673" s="6" t="s">
        <v>583</v>
      </c>
      <c r="F673" s="21" t="s">
        <v>6</v>
      </c>
      <c r="G673" s="6" t="s">
        <v>609</v>
      </c>
      <c r="H673" s="22">
        <v>2.4</v>
      </c>
      <c r="I673" s="9">
        <v>100</v>
      </c>
      <c r="J673" s="22">
        <f t="shared" si="8"/>
        <v>240</v>
      </c>
      <c r="K673" s="9">
        <f t="array" ref="K673">QUARTILE(IF($F$3:$F$1460=$F673,$H$3:$H$1460),1)</f>
        <v>4.25</v>
      </c>
      <c r="L673" s="9">
        <f t="array" ref="L673">QUARTILE(IF($F$3:$F$1460=$F673,$H$3:$H$1460),2)</f>
        <v>6.12</v>
      </c>
      <c r="M673" s="9">
        <f t="array" ref="M673">QUARTILE(IF($F$3:$F$1460=$F673,$H$3:$H$1460),3)</f>
        <v>13.55</v>
      </c>
    </row>
    <row r="674" spans="1:13" x14ac:dyDescent="0.25">
      <c r="A674" s="7">
        <v>674</v>
      </c>
      <c r="B674" s="6" t="s">
        <v>97</v>
      </c>
      <c r="C674" s="7">
        <v>4431412</v>
      </c>
      <c r="D674" s="23" t="s">
        <v>582</v>
      </c>
      <c r="E674" s="6" t="s">
        <v>583</v>
      </c>
      <c r="F674" s="21" t="s">
        <v>23</v>
      </c>
      <c r="G674" s="6" t="s">
        <v>610</v>
      </c>
      <c r="H674" s="22">
        <v>84.5</v>
      </c>
      <c r="I674" s="9">
        <v>68</v>
      </c>
      <c r="J674" s="22">
        <f t="shared" si="8"/>
        <v>5746</v>
      </c>
      <c r="K674" s="9">
        <f t="array" ref="K674">QUARTILE(IF($F$3:$F$1460=$F674,$H$3:$H$1460),1)</f>
        <v>28.484999999999999</v>
      </c>
      <c r="L674" s="9">
        <f t="array" ref="L674">QUARTILE(IF($F$3:$F$1460=$F674,$H$3:$H$1460),2)</f>
        <v>48.75</v>
      </c>
      <c r="M674" s="9">
        <f t="array" ref="M674">QUARTILE(IF($F$3:$F$1460=$F674,$H$3:$H$1460),3)</f>
        <v>71.75</v>
      </c>
    </row>
    <row r="675" spans="1:13" x14ac:dyDescent="0.25">
      <c r="A675" s="7">
        <v>675</v>
      </c>
      <c r="B675" s="6" t="s">
        <v>97</v>
      </c>
      <c r="C675" s="7">
        <v>4431412</v>
      </c>
      <c r="D675" s="23" t="s">
        <v>582</v>
      </c>
      <c r="E675" s="6" t="s">
        <v>583</v>
      </c>
      <c r="F675" s="21" t="s">
        <v>23</v>
      </c>
      <c r="G675" s="6" t="s">
        <v>611</v>
      </c>
      <c r="H675" s="22">
        <v>67.5</v>
      </c>
      <c r="I675" s="9">
        <v>43</v>
      </c>
      <c r="J675" s="22">
        <f t="shared" si="8"/>
        <v>2902.5</v>
      </c>
      <c r="K675" s="9">
        <f t="array" ref="K675">QUARTILE(IF($F$3:$F$1460=$F675,$H$3:$H$1460),1)</f>
        <v>28.484999999999999</v>
      </c>
      <c r="L675" s="9">
        <f t="array" ref="L675">QUARTILE(IF($F$3:$F$1460=$F675,$H$3:$H$1460),2)</f>
        <v>48.75</v>
      </c>
      <c r="M675" s="9">
        <f t="array" ref="M675">QUARTILE(IF($F$3:$F$1460=$F675,$H$3:$H$1460),3)</f>
        <v>71.75</v>
      </c>
    </row>
    <row r="676" spans="1:13" x14ac:dyDescent="0.25">
      <c r="A676" s="7">
        <v>676</v>
      </c>
      <c r="B676" s="6" t="s">
        <v>97</v>
      </c>
      <c r="C676" s="7">
        <v>4431412</v>
      </c>
      <c r="D676" s="23" t="s">
        <v>582</v>
      </c>
      <c r="E676" s="6" t="s">
        <v>583</v>
      </c>
      <c r="F676" s="21" t="s">
        <v>20</v>
      </c>
      <c r="G676" s="6" t="s">
        <v>612</v>
      </c>
      <c r="H676" s="22">
        <v>76</v>
      </c>
      <c r="I676" s="9">
        <v>100</v>
      </c>
      <c r="J676" s="22">
        <f t="shared" si="8"/>
        <v>7600</v>
      </c>
      <c r="K676" s="9">
        <f t="array" ref="K676">QUARTILE(IF($F$3:$F$1460=$F676,$H$3:$H$1460),1)</f>
        <v>22.082500000000003</v>
      </c>
      <c r="L676" s="9">
        <f t="array" ref="L676">QUARTILE(IF($F$3:$F$1460=$F676,$H$3:$H$1460),2)</f>
        <v>31.15</v>
      </c>
      <c r="M676" s="9">
        <f t="array" ref="M676">QUARTILE(IF($F$3:$F$1460=$F676,$H$3:$H$1460),3)</f>
        <v>48.125</v>
      </c>
    </row>
    <row r="677" spans="1:13" x14ac:dyDescent="0.25">
      <c r="A677" s="7">
        <v>677</v>
      </c>
      <c r="B677" s="6" t="s">
        <v>97</v>
      </c>
      <c r="C677" s="7">
        <v>4431412</v>
      </c>
      <c r="D677" s="23" t="s">
        <v>582</v>
      </c>
      <c r="E677" s="6" t="s">
        <v>583</v>
      </c>
      <c r="F677" s="21" t="s">
        <v>47</v>
      </c>
      <c r="G677" s="6" t="s">
        <v>613</v>
      </c>
      <c r="H677" s="22">
        <v>140</v>
      </c>
      <c r="I677" s="9">
        <v>250</v>
      </c>
      <c r="J677" s="22">
        <f t="shared" si="8"/>
        <v>35000</v>
      </c>
      <c r="K677" s="9">
        <f t="array" ref="K677">QUARTILE(IF($F$3:$F$1460=$F677,$H$3:$H$1460),1)</f>
        <v>279</v>
      </c>
      <c r="L677" s="9">
        <f t="array" ref="L677">QUARTILE(IF($F$3:$F$1460=$F677,$H$3:$H$1460),2)</f>
        <v>358.2</v>
      </c>
      <c r="M677" s="9">
        <f t="array" ref="M677">QUARTILE(IF($F$3:$F$1460=$F677,$H$3:$H$1460),3)</f>
        <v>705</v>
      </c>
    </row>
    <row r="678" spans="1:13" x14ac:dyDescent="0.25">
      <c r="A678" s="7">
        <v>678</v>
      </c>
      <c r="B678" s="6" t="s">
        <v>97</v>
      </c>
      <c r="C678" s="7">
        <v>4431412</v>
      </c>
      <c r="D678" s="23" t="s">
        <v>582</v>
      </c>
      <c r="E678" s="6" t="s">
        <v>583</v>
      </c>
      <c r="F678" s="21" t="s">
        <v>47</v>
      </c>
      <c r="G678" s="6" t="s">
        <v>614</v>
      </c>
      <c r="H678" s="22">
        <v>279</v>
      </c>
      <c r="I678" s="9">
        <v>300</v>
      </c>
      <c r="J678" s="22">
        <f t="shared" si="8"/>
        <v>83700</v>
      </c>
      <c r="K678" s="9">
        <f t="array" ref="K678">QUARTILE(IF($F$3:$F$1460=$F678,$H$3:$H$1460),1)</f>
        <v>279</v>
      </c>
      <c r="L678" s="9">
        <f t="array" ref="L678">QUARTILE(IF($F$3:$F$1460=$F678,$H$3:$H$1460),2)</f>
        <v>358.2</v>
      </c>
      <c r="M678" s="9">
        <f t="array" ref="M678">QUARTILE(IF($F$3:$F$1460=$F678,$H$3:$H$1460),3)</f>
        <v>705</v>
      </c>
    </row>
    <row r="679" spans="1:13" x14ac:dyDescent="0.25">
      <c r="A679" s="7">
        <v>679</v>
      </c>
      <c r="B679" s="6" t="s">
        <v>97</v>
      </c>
      <c r="C679" s="7">
        <v>4431412</v>
      </c>
      <c r="D679" s="23" t="s">
        <v>582</v>
      </c>
      <c r="E679" s="6" t="s">
        <v>583</v>
      </c>
      <c r="F679" s="21" t="s">
        <v>20</v>
      </c>
      <c r="G679" s="6" t="s">
        <v>615</v>
      </c>
      <c r="H679" s="22">
        <v>69</v>
      </c>
      <c r="I679" s="9">
        <v>100</v>
      </c>
      <c r="J679" s="22">
        <f t="shared" si="8"/>
        <v>6900</v>
      </c>
      <c r="K679" s="9">
        <f t="array" ref="K679">QUARTILE(IF($F$3:$F$1460=$F679,$H$3:$H$1460),1)</f>
        <v>22.082500000000003</v>
      </c>
      <c r="L679" s="9">
        <f t="array" ref="L679">QUARTILE(IF($F$3:$F$1460=$F679,$H$3:$H$1460),2)</f>
        <v>31.15</v>
      </c>
      <c r="M679" s="9">
        <f t="array" ref="M679">QUARTILE(IF($F$3:$F$1460=$F679,$H$3:$H$1460),3)</f>
        <v>48.125</v>
      </c>
    </row>
    <row r="680" spans="1:13" x14ac:dyDescent="0.25">
      <c r="A680" s="7">
        <v>680</v>
      </c>
      <c r="B680" s="6" t="s">
        <v>97</v>
      </c>
      <c r="C680" s="7">
        <v>4431412</v>
      </c>
      <c r="D680" s="23" t="s">
        <v>582</v>
      </c>
      <c r="E680" s="6" t="s">
        <v>583</v>
      </c>
      <c r="F680" s="21" t="s">
        <v>20</v>
      </c>
      <c r="G680" s="6" t="s">
        <v>616</v>
      </c>
      <c r="H680" s="22">
        <v>124</v>
      </c>
      <c r="I680" s="9">
        <v>150</v>
      </c>
      <c r="J680" s="22">
        <f t="shared" si="8"/>
        <v>18600</v>
      </c>
      <c r="K680" s="9">
        <f t="array" ref="K680">QUARTILE(IF($F$3:$F$1460=$F680,$H$3:$H$1460),1)</f>
        <v>22.082500000000003</v>
      </c>
      <c r="L680" s="9">
        <f t="array" ref="L680">QUARTILE(IF($F$3:$F$1460=$F680,$H$3:$H$1460),2)</f>
        <v>31.15</v>
      </c>
      <c r="M680" s="9">
        <f t="array" ref="M680">QUARTILE(IF($F$3:$F$1460=$F680,$H$3:$H$1460),3)</f>
        <v>48.125</v>
      </c>
    </row>
    <row r="681" spans="1:13" x14ac:dyDescent="0.25">
      <c r="A681" s="7">
        <v>681</v>
      </c>
      <c r="B681" s="6" t="s">
        <v>97</v>
      </c>
      <c r="C681" s="7">
        <v>4431412</v>
      </c>
      <c r="D681" s="23" t="s">
        <v>582</v>
      </c>
      <c r="E681" s="6" t="s">
        <v>583</v>
      </c>
      <c r="F681" s="21" t="s">
        <v>20</v>
      </c>
      <c r="G681" s="6" t="s">
        <v>617</v>
      </c>
      <c r="H681" s="22">
        <v>239</v>
      </c>
      <c r="I681" s="9">
        <v>200</v>
      </c>
      <c r="J681" s="22">
        <f t="shared" si="8"/>
        <v>47800</v>
      </c>
      <c r="K681" s="9">
        <f t="array" ref="K681">QUARTILE(IF($F$3:$F$1460=$F681,$H$3:$H$1460),1)</f>
        <v>22.082500000000003</v>
      </c>
      <c r="L681" s="9">
        <f t="array" ref="L681">QUARTILE(IF($F$3:$F$1460=$F681,$H$3:$H$1460),2)</f>
        <v>31.15</v>
      </c>
      <c r="M681" s="9">
        <f t="array" ref="M681">QUARTILE(IF($F$3:$F$1460=$F681,$H$3:$H$1460),3)</f>
        <v>48.125</v>
      </c>
    </row>
    <row r="682" spans="1:13" ht="15.75" customHeight="1" x14ac:dyDescent="0.25">
      <c r="A682" s="7">
        <v>682</v>
      </c>
      <c r="B682" s="6" t="s">
        <v>97</v>
      </c>
      <c r="C682" s="7">
        <v>4431412</v>
      </c>
      <c r="D682" s="23" t="s">
        <v>582</v>
      </c>
      <c r="E682" s="6" t="s">
        <v>583</v>
      </c>
      <c r="F682" s="21" t="s">
        <v>31</v>
      </c>
      <c r="G682" s="6" t="s">
        <v>618</v>
      </c>
      <c r="H682" s="22">
        <v>40.9</v>
      </c>
      <c r="I682" s="9">
        <v>200</v>
      </c>
      <c r="J682" s="22">
        <f t="shared" si="8"/>
        <v>8180</v>
      </c>
      <c r="K682" s="9">
        <f t="array" ref="K682">QUARTILE(IF($F$3:$F$1460=$F682,$H$3:$H$1460),1)</f>
        <v>55.5</v>
      </c>
      <c r="L682" s="9">
        <f t="array" ref="L682">QUARTILE(IF($F$3:$F$1460=$F682,$H$3:$H$1460),2)</f>
        <v>91.88</v>
      </c>
      <c r="M682" s="9">
        <f t="array" ref="M682">QUARTILE(IF($F$3:$F$1460=$F682,$H$3:$H$1460),3)</f>
        <v>148.36000000000001</v>
      </c>
    </row>
    <row r="683" spans="1:13" x14ac:dyDescent="0.25">
      <c r="A683" s="7">
        <v>683</v>
      </c>
      <c r="B683" s="6" t="s">
        <v>97</v>
      </c>
      <c r="C683" s="7">
        <v>4431412</v>
      </c>
      <c r="D683" s="23" t="s">
        <v>582</v>
      </c>
      <c r="E683" s="6" t="s">
        <v>583</v>
      </c>
      <c r="F683" s="21" t="s">
        <v>31</v>
      </c>
      <c r="G683" s="6" t="s">
        <v>619</v>
      </c>
      <c r="H683" s="22">
        <v>60.85</v>
      </c>
      <c r="I683" s="9">
        <v>1000</v>
      </c>
      <c r="J683" s="22">
        <f t="shared" si="8"/>
        <v>60850</v>
      </c>
      <c r="K683" s="9">
        <f t="array" ref="K683">QUARTILE(IF($F$3:$F$1460=$F683,$H$3:$H$1460),1)</f>
        <v>55.5</v>
      </c>
      <c r="L683" s="9">
        <f t="array" ref="L683">QUARTILE(IF($F$3:$F$1460=$F683,$H$3:$H$1460),2)</f>
        <v>91.88</v>
      </c>
      <c r="M683" s="9">
        <f t="array" ref="M683">QUARTILE(IF($F$3:$F$1460=$F683,$H$3:$H$1460),3)</f>
        <v>148.36000000000001</v>
      </c>
    </row>
    <row r="684" spans="1:13" x14ac:dyDescent="0.25">
      <c r="A684" s="7">
        <v>684</v>
      </c>
      <c r="B684" s="6" t="s">
        <v>97</v>
      </c>
      <c r="C684" s="7">
        <v>4431412</v>
      </c>
      <c r="D684" s="23" t="s">
        <v>582</v>
      </c>
      <c r="E684" s="6" t="s">
        <v>583</v>
      </c>
      <c r="F684" s="21" t="s">
        <v>65</v>
      </c>
      <c r="G684" s="45" t="s">
        <v>620</v>
      </c>
      <c r="H684" s="22">
        <v>6950.8</v>
      </c>
      <c r="I684" s="9">
        <v>6</v>
      </c>
      <c r="J684" s="22">
        <f t="shared" si="8"/>
        <v>41704.800000000003</v>
      </c>
      <c r="K684" s="9">
        <f t="array" ref="K684">QUARTILE(IF($F$3:$F$1460=$F684,$H$3:$H$1460),1)</f>
        <v>1383.98</v>
      </c>
      <c r="L684" s="9">
        <f t="array" ref="L684">QUARTILE(IF($F$3:$F$1460=$F684,$H$3:$H$1460),2)</f>
        <v>1866.7</v>
      </c>
      <c r="M684" s="9">
        <f t="array" ref="M684">QUARTILE(IF($F$3:$F$1460=$F684,$H$3:$H$1460),3)</f>
        <v>4574.5833333333339</v>
      </c>
    </row>
    <row r="685" spans="1:13" x14ac:dyDescent="0.25">
      <c r="A685" s="7">
        <v>685</v>
      </c>
      <c r="B685" s="6" t="s">
        <v>97</v>
      </c>
      <c r="C685" s="7">
        <v>4431412</v>
      </c>
      <c r="D685" s="23" t="s">
        <v>582</v>
      </c>
      <c r="E685" s="6" t="s">
        <v>583</v>
      </c>
      <c r="F685" s="21" t="s">
        <v>41</v>
      </c>
      <c r="G685" s="45" t="s">
        <v>621</v>
      </c>
      <c r="H685" s="22">
        <v>4281.3</v>
      </c>
      <c r="I685" s="9">
        <v>2</v>
      </c>
      <c r="J685" s="22">
        <f t="shared" si="8"/>
        <v>8562.6</v>
      </c>
      <c r="K685" s="9">
        <f t="array" ref="K685">QUARTILE(IF($F$3:$F$1460=$F685,$H$3:$H$1460),1)</f>
        <v>112.19999999999999</v>
      </c>
      <c r="L685" s="9">
        <f t="array" ref="L685">QUARTILE(IF($F$3:$F$1460=$F685,$H$3:$H$1460),2)</f>
        <v>252</v>
      </c>
      <c r="M685" s="9">
        <f t="array" ref="M685">QUARTILE(IF($F$3:$F$1460=$F685,$H$3:$H$1460),3)</f>
        <v>2310</v>
      </c>
    </row>
    <row r="686" spans="1:13" x14ac:dyDescent="0.25">
      <c r="A686" s="7">
        <v>686</v>
      </c>
      <c r="B686" s="6" t="s">
        <v>97</v>
      </c>
      <c r="C686" s="7">
        <v>4431412</v>
      </c>
      <c r="D686" s="23" t="s">
        <v>582</v>
      </c>
      <c r="E686" s="6" t="s">
        <v>583</v>
      </c>
      <c r="F686" s="21" t="s">
        <v>41</v>
      </c>
      <c r="G686" s="45" t="s">
        <v>622</v>
      </c>
      <c r="H686" s="22">
        <v>845.33</v>
      </c>
      <c r="I686" s="9">
        <v>55</v>
      </c>
      <c r="J686" s="22">
        <f t="shared" si="8"/>
        <v>46493.15</v>
      </c>
      <c r="K686" s="9">
        <f t="array" ref="K686">QUARTILE(IF($F$3:$F$1460=$F686,$H$3:$H$1460),1)</f>
        <v>112.19999999999999</v>
      </c>
      <c r="L686" s="9">
        <f t="array" ref="L686">QUARTILE(IF($F$3:$F$1460=$F686,$H$3:$H$1460),2)</f>
        <v>252</v>
      </c>
      <c r="M686" s="9">
        <f t="array" ref="M686">QUARTILE(IF($F$3:$F$1460=$F686,$H$3:$H$1460),3)</f>
        <v>2310</v>
      </c>
    </row>
    <row r="687" spans="1:13" x14ac:dyDescent="0.25">
      <c r="A687" s="7">
        <v>687</v>
      </c>
      <c r="B687" s="6" t="s">
        <v>97</v>
      </c>
      <c r="C687" s="7">
        <v>4431412</v>
      </c>
      <c r="D687" s="23" t="s">
        <v>582</v>
      </c>
      <c r="E687" s="6" t="s">
        <v>583</v>
      </c>
      <c r="F687" s="21" t="s">
        <v>46</v>
      </c>
      <c r="G687" s="45" t="s">
        <v>623</v>
      </c>
      <c r="H687" s="22">
        <v>267.2</v>
      </c>
      <c r="I687" s="9">
        <v>150</v>
      </c>
      <c r="J687" s="22">
        <f t="shared" si="8"/>
        <v>40080</v>
      </c>
      <c r="K687" s="9">
        <f t="array" ref="K687">QUARTILE(IF($F$3:$F$1460=$F687,$H$3:$H$1460),1)</f>
        <v>229.78</v>
      </c>
      <c r="L687" s="9">
        <f t="array" ref="L687">QUARTILE(IF($F$3:$F$1460=$F687,$H$3:$H$1460),2)</f>
        <v>424.2</v>
      </c>
      <c r="M687" s="9">
        <f t="array" ref="M687">QUARTILE(IF($F$3:$F$1460=$F687,$H$3:$H$1460),3)</f>
        <v>1030.3</v>
      </c>
    </row>
    <row r="688" spans="1:13" x14ac:dyDescent="0.25">
      <c r="A688" s="7">
        <v>688</v>
      </c>
      <c r="B688" s="6" t="s">
        <v>97</v>
      </c>
      <c r="C688" s="7">
        <v>4431412</v>
      </c>
      <c r="D688" s="23" t="s">
        <v>582</v>
      </c>
      <c r="E688" s="6" t="s">
        <v>583</v>
      </c>
      <c r="F688" s="21" t="s">
        <v>46</v>
      </c>
      <c r="G688" s="45" t="s">
        <v>624</v>
      </c>
      <c r="H688" s="22">
        <v>312.42</v>
      </c>
      <c r="I688" s="9">
        <v>100</v>
      </c>
      <c r="J688" s="22">
        <f t="shared" si="8"/>
        <v>31242</v>
      </c>
      <c r="K688" s="9">
        <f t="array" ref="K688">QUARTILE(IF($F$3:$F$1460=$F688,$H$3:$H$1460),1)</f>
        <v>229.78</v>
      </c>
      <c r="L688" s="9">
        <f t="array" ref="L688">QUARTILE(IF($F$3:$F$1460=$F688,$H$3:$H$1460),2)</f>
        <v>424.2</v>
      </c>
      <c r="M688" s="9">
        <f t="array" ref="M688">QUARTILE(IF($F$3:$F$1460=$F688,$H$3:$H$1460),3)</f>
        <v>1030.3</v>
      </c>
    </row>
    <row r="689" spans="1:13" x14ac:dyDescent="0.25">
      <c r="A689" s="7">
        <v>689</v>
      </c>
      <c r="B689" s="6" t="s">
        <v>97</v>
      </c>
      <c r="C689" s="7">
        <v>4431412</v>
      </c>
      <c r="D689" s="23" t="s">
        <v>582</v>
      </c>
      <c r="E689" s="6" t="s">
        <v>583</v>
      </c>
      <c r="F689" s="21" t="s">
        <v>54</v>
      </c>
      <c r="G689" s="45" t="s">
        <v>625</v>
      </c>
      <c r="H689" s="22">
        <v>1749.2</v>
      </c>
      <c r="I689" s="9">
        <v>50</v>
      </c>
      <c r="J689" s="22">
        <f t="shared" si="8"/>
        <v>87460</v>
      </c>
      <c r="K689" s="9">
        <f t="array" ref="K689">QUARTILE(IF($F$3:$F$1460=$F689,$H$3:$H$1460),1)</f>
        <v>393.94499999999999</v>
      </c>
      <c r="L689" s="9">
        <f t="array" ref="L689">QUARTILE(IF($F$3:$F$1460=$F689,$H$3:$H$1460),2)</f>
        <v>710.01499999999999</v>
      </c>
      <c r="M689" s="9">
        <f t="array" ref="M689">QUARTILE(IF($F$3:$F$1460=$F689,$H$3:$H$1460),3)</f>
        <v>2552.0574999999999</v>
      </c>
    </row>
    <row r="690" spans="1:13" x14ac:dyDescent="0.25">
      <c r="A690" s="7">
        <v>690</v>
      </c>
      <c r="B690" s="6" t="s">
        <v>97</v>
      </c>
      <c r="C690" s="7">
        <v>4431412</v>
      </c>
      <c r="D690" s="23" t="s">
        <v>582</v>
      </c>
      <c r="E690" s="6" t="s">
        <v>583</v>
      </c>
      <c r="F690" s="21" t="s">
        <v>54</v>
      </c>
      <c r="G690" s="45" t="s">
        <v>626</v>
      </c>
      <c r="H690" s="22">
        <v>2760.3</v>
      </c>
      <c r="I690" s="9">
        <v>50</v>
      </c>
      <c r="J690" s="22">
        <f t="shared" si="8"/>
        <v>138015</v>
      </c>
      <c r="K690" s="9">
        <f t="array" ref="K690">QUARTILE(IF($F$3:$F$1460=$F690,$H$3:$H$1460),1)</f>
        <v>393.94499999999999</v>
      </c>
      <c r="L690" s="9">
        <f t="array" ref="L690">QUARTILE(IF($F$3:$F$1460=$F690,$H$3:$H$1460),2)</f>
        <v>710.01499999999999</v>
      </c>
      <c r="M690" s="9">
        <f t="array" ref="M690">QUARTILE(IF($F$3:$F$1460=$F690,$H$3:$H$1460),3)</f>
        <v>2552.0574999999999</v>
      </c>
    </row>
    <row r="691" spans="1:13" x14ac:dyDescent="0.25">
      <c r="A691" s="7">
        <v>691</v>
      </c>
      <c r="B691" s="6" t="s">
        <v>97</v>
      </c>
      <c r="C691" s="7">
        <v>4431412</v>
      </c>
      <c r="D691" s="23" t="s">
        <v>582</v>
      </c>
      <c r="E691" s="6" t="s">
        <v>583</v>
      </c>
      <c r="F691" s="21" t="s">
        <v>46</v>
      </c>
      <c r="G691" s="45" t="s">
        <v>627</v>
      </c>
      <c r="H691" s="22">
        <v>1030.3</v>
      </c>
      <c r="I691" s="9">
        <v>10</v>
      </c>
      <c r="J691" s="22">
        <f t="shared" si="8"/>
        <v>10303</v>
      </c>
      <c r="K691" s="9">
        <f t="array" ref="K691">QUARTILE(IF($F$3:$F$1460=$F691,$H$3:$H$1460),1)</f>
        <v>229.78</v>
      </c>
      <c r="L691" s="9">
        <f t="array" ref="L691">QUARTILE(IF($F$3:$F$1460=$F691,$H$3:$H$1460),2)</f>
        <v>424.2</v>
      </c>
      <c r="M691" s="9">
        <f t="array" ref="M691">QUARTILE(IF($F$3:$F$1460=$F691,$H$3:$H$1460),3)</f>
        <v>1030.3</v>
      </c>
    </row>
    <row r="692" spans="1:13" x14ac:dyDescent="0.25">
      <c r="A692" s="7">
        <v>692</v>
      </c>
      <c r="B692" s="6" t="s">
        <v>97</v>
      </c>
      <c r="C692" s="7">
        <v>4431412</v>
      </c>
      <c r="D692" s="23" t="s">
        <v>582</v>
      </c>
      <c r="E692" s="6" t="s">
        <v>583</v>
      </c>
      <c r="F692" s="21" t="s">
        <v>54</v>
      </c>
      <c r="G692" s="45" t="s">
        <v>628</v>
      </c>
      <c r="H692" s="22">
        <v>13130.9</v>
      </c>
      <c r="I692" s="9">
        <v>3</v>
      </c>
      <c r="J692" s="22">
        <f t="shared" si="8"/>
        <v>39392.699999999997</v>
      </c>
      <c r="K692" s="9">
        <f t="array" ref="K692">QUARTILE(IF($F$3:$F$1460=$F692,$H$3:$H$1460),1)</f>
        <v>393.94499999999999</v>
      </c>
      <c r="L692" s="9">
        <f t="array" ref="L692">QUARTILE(IF($F$3:$F$1460=$F692,$H$3:$H$1460),2)</f>
        <v>710.01499999999999</v>
      </c>
      <c r="M692" s="9">
        <f t="array" ref="M692">QUARTILE(IF($F$3:$F$1460=$F692,$H$3:$H$1460),3)</f>
        <v>2552.0574999999999</v>
      </c>
    </row>
    <row r="693" spans="1:13" x14ac:dyDescent="0.25">
      <c r="A693" s="7">
        <v>693</v>
      </c>
      <c r="B693" s="6" t="s">
        <v>97</v>
      </c>
      <c r="C693" s="7">
        <v>4431412</v>
      </c>
      <c r="D693" s="23" t="s">
        <v>582</v>
      </c>
      <c r="E693" s="6" t="s">
        <v>583</v>
      </c>
      <c r="F693" s="21" t="s">
        <v>39</v>
      </c>
      <c r="G693" s="45" t="s">
        <v>629</v>
      </c>
      <c r="H693" s="22">
        <v>3845.81</v>
      </c>
      <c r="I693" s="9">
        <v>2</v>
      </c>
      <c r="J693" s="22">
        <f t="shared" si="8"/>
        <v>7691.62</v>
      </c>
      <c r="K693" s="9">
        <f t="array" ref="K693">QUARTILE(IF($F$3:$F$1460=$F693,$H$3:$H$1460),1)</f>
        <v>98.7</v>
      </c>
      <c r="L693" s="9">
        <f t="array" ref="L693">QUARTILE(IF($F$3:$F$1460=$F693,$H$3:$H$1460),2)</f>
        <v>172.56</v>
      </c>
      <c r="M693" s="9">
        <f t="array" ref="M693">QUARTILE(IF($F$3:$F$1460=$F693,$H$3:$H$1460),3)</f>
        <v>2312.5</v>
      </c>
    </row>
    <row r="694" spans="1:13" x14ac:dyDescent="0.25">
      <c r="A694" s="7">
        <v>694</v>
      </c>
      <c r="B694" s="6" t="s">
        <v>97</v>
      </c>
      <c r="C694" s="7">
        <v>4431412</v>
      </c>
      <c r="D694" s="23" t="s">
        <v>582</v>
      </c>
      <c r="E694" s="6" t="s">
        <v>583</v>
      </c>
      <c r="F694" s="21" t="s">
        <v>81</v>
      </c>
      <c r="G694" s="45" t="s">
        <v>630</v>
      </c>
      <c r="H694" s="22">
        <v>70059.56</v>
      </c>
      <c r="I694" s="9">
        <v>8</v>
      </c>
      <c r="J694" s="22">
        <f t="shared" si="8"/>
        <v>560476.48</v>
      </c>
      <c r="K694" s="9">
        <f t="array" ref="K694">QUARTILE(IF($F$3:$F$1460=$F694,$H$3:$H$1460),1)</f>
        <v>70059.56</v>
      </c>
      <c r="L694" s="9">
        <f t="array" ref="L694">QUARTILE(IF($F$3:$F$1460=$F694,$H$3:$H$1460),2)</f>
        <v>70059.56</v>
      </c>
      <c r="M694" s="9">
        <f t="array" ref="M694">QUARTILE(IF($F$3:$F$1460=$F694,$H$3:$H$1460),3)</f>
        <v>70059.56</v>
      </c>
    </row>
    <row r="695" spans="1:13" x14ac:dyDescent="0.25">
      <c r="A695" s="7">
        <v>695</v>
      </c>
      <c r="B695" s="6" t="s">
        <v>97</v>
      </c>
      <c r="C695" s="7">
        <v>4431412</v>
      </c>
      <c r="D695" s="23" t="s">
        <v>582</v>
      </c>
      <c r="E695" s="6" t="s">
        <v>583</v>
      </c>
      <c r="F695" s="21" t="s">
        <v>75</v>
      </c>
      <c r="G695" s="45" t="s">
        <v>631</v>
      </c>
      <c r="H695" s="22">
        <v>7983.76</v>
      </c>
      <c r="I695" s="9">
        <v>3</v>
      </c>
      <c r="J695" s="22">
        <f t="shared" si="8"/>
        <v>23951.279999999999</v>
      </c>
      <c r="K695" s="9">
        <f t="array" ref="K695">QUARTILE(IF($F$3:$F$1460=$F695,$H$3:$H$1460),1)</f>
        <v>7209.15</v>
      </c>
      <c r="L695" s="9">
        <f t="array" ref="L695">QUARTILE(IF($F$3:$F$1460=$F695,$H$3:$H$1460),2)</f>
        <v>15534.78</v>
      </c>
      <c r="M695" s="9">
        <f t="array" ref="M695">QUARTILE(IF($F$3:$F$1460=$F695,$H$3:$H$1460),3)</f>
        <v>29950.799999999999</v>
      </c>
    </row>
    <row r="696" spans="1:13" x14ac:dyDescent="0.25">
      <c r="A696" s="7">
        <v>696</v>
      </c>
      <c r="B696" s="6" t="s">
        <v>97</v>
      </c>
      <c r="C696" s="7">
        <v>4431412</v>
      </c>
      <c r="D696" s="23" t="s">
        <v>582</v>
      </c>
      <c r="E696" s="6" t="s">
        <v>583</v>
      </c>
      <c r="F696" s="21" t="s">
        <v>76</v>
      </c>
      <c r="G696" s="6" t="s">
        <v>632</v>
      </c>
      <c r="H696" s="22">
        <v>8163.93</v>
      </c>
      <c r="I696" s="9">
        <v>2</v>
      </c>
      <c r="J696" s="22">
        <f t="shared" si="8"/>
        <v>16327.86</v>
      </c>
      <c r="K696" s="9">
        <f t="array" ref="K696">QUARTILE(IF($F$3:$F$1460=$F696,$H$3:$H$1460),1)</f>
        <v>11441.9125</v>
      </c>
      <c r="L696" s="9">
        <f t="array" ref="L696">QUARTILE(IF($F$3:$F$1460=$F696,$H$3:$H$1460),2)</f>
        <v>24241.455000000002</v>
      </c>
      <c r="M696" s="9">
        <f t="array" ref="M696">QUARTILE(IF($F$3:$F$1460=$F696,$H$3:$H$1460),3)</f>
        <v>41877.177500000005</v>
      </c>
    </row>
    <row r="697" spans="1:13" ht="14.25" customHeight="1" x14ac:dyDescent="0.25">
      <c r="A697" s="7">
        <v>697</v>
      </c>
      <c r="B697" s="6" t="s">
        <v>97</v>
      </c>
      <c r="C697" s="7">
        <v>4431412</v>
      </c>
      <c r="D697" s="23" t="s">
        <v>582</v>
      </c>
      <c r="E697" s="6" t="s">
        <v>583</v>
      </c>
      <c r="F697" s="21" t="s">
        <v>68</v>
      </c>
      <c r="G697" s="45" t="s">
        <v>633</v>
      </c>
      <c r="H697" s="22">
        <v>36283.879999999997</v>
      </c>
      <c r="I697" s="9">
        <v>2</v>
      </c>
      <c r="J697" s="22">
        <f t="shared" si="8"/>
        <v>72567.759999999995</v>
      </c>
      <c r="K697" s="9">
        <f t="array" ref="K697">QUARTILE(IF($F$3:$F$1460=$F697,$H$3:$H$1460),1)</f>
        <v>2032</v>
      </c>
      <c r="L697" s="9">
        <f t="array" ref="L697">QUARTILE(IF($F$3:$F$1460=$F697,$H$3:$H$1460),2)</f>
        <v>19360</v>
      </c>
      <c r="M697" s="9">
        <f t="array" ref="M697">QUARTILE(IF($F$3:$F$1460=$F697,$H$3:$H$1460),3)</f>
        <v>87628.37</v>
      </c>
    </row>
    <row r="698" spans="1:13" x14ac:dyDescent="0.25">
      <c r="A698" s="7">
        <v>698</v>
      </c>
      <c r="B698" s="6" t="s">
        <v>97</v>
      </c>
      <c r="C698" s="7">
        <v>4431412</v>
      </c>
      <c r="D698" s="23" t="s">
        <v>582</v>
      </c>
      <c r="E698" s="6" t="s">
        <v>583</v>
      </c>
      <c r="F698" s="21" t="s">
        <v>17</v>
      </c>
      <c r="G698" s="6" t="s">
        <v>634</v>
      </c>
      <c r="H698" s="22">
        <v>2113.54</v>
      </c>
      <c r="I698" s="9">
        <v>2</v>
      </c>
      <c r="J698" s="22">
        <f t="shared" si="8"/>
        <v>4227.08</v>
      </c>
      <c r="K698" s="9">
        <f t="array" ref="K698">QUARTILE(IF($F$3:$F$1460=$F698,$H$3:$H$1460),1)</f>
        <v>17.549999999999997</v>
      </c>
      <c r="L698" s="9">
        <f t="array" ref="L698">QUARTILE(IF($F$3:$F$1460=$F698,$H$3:$H$1460),2)</f>
        <v>275.8</v>
      </c>
      <c r="M698" s="9">
        <f t="array" ref="M698">QUARTILE(IF($F$3:$F$1460=$F698,$H$3:$H$1460),3)</f>
        <v>11191.057499999999</v>
      </c>
    </row>
    <row r="699" spans="1:13" x14ac:dyDescent="0.25">
      <c r="A699" s="7">
        <v>699</v>
      </c>
      <c r="B699" s="6" t="s">
        <v>97</v>
      </c>
      <c r="C699" s="7">
        <v>4431412</v>
      </c>
      <c r="D699" s="23" t="s">
        <v>582</v>
      </c>
      <c r="E699" s="6" t="s">
        <v>583</v>
      </c>
      <c r="F699" s="21" t="s">
        <v>17</v>
      </c>
      <c r="G699" s="6" t="s">
        <v>635</v>
      </c>
      <c r="H699" s="22">
        <v>2175.75</v>
      </c>
      <c r="I699" s="9">
        <v>2</v>
      </c>
      <c r="J699" s="22">
        <f t="shared" si="8"/>
        <v>4351.5</v>
      </c>
      <c r="K699" s="9">
        <f t="array" ref="K699">QUARTILE(IF($F$3:$F$1460=$F699,$H$3:$H$1460),1)</f>
        <v>17.549999999999997</v>
      </c>
      <c r="L699" s="9">
        <f t="array" ref="L699">QUARTILE(IF($F$3:$F$1460=$F699,$H$3:$H$1460),2)</f>
        <v>275.8</v>
      </c>
      <c r="M699" s="9">
        <f t="array" ref="M699">QUARTILE(IF($F$3:$F$1460=$F699,$H$3:$H$1460),3)</f>
        <v>11191.057499999999</v>
      </c>
    </row>
    <row r="700" spans="1:13" x14ac:dyDescent="0.25">
      <c r="A700" s="7">
        <v>700</v>
      </c>
      <c r="B700" s="6" t="s">
        <v>97</v>
      </c>
      <c r="C700" s="7">
        <v>4431412</v>
      </c>
      <c r="D700" s="23" t="s">
        <v>582</v>
      </c>
      <c r="E700" s="6" t="s">
        <v>583</v>
      </c>
      <c r="F700" s="21" t="s">
        <v>45</v>
      </c>
      <c r="G700" s="6" t="s">
        <v>636</v>
      </c>
      <c r="H700" s="22">
        <v>153.72999999999999</v>
      </c>
      <c r="I700" s="9">
        <v>4</v>
      </c>
      <c r="J700" s="22">
        <f t="shared" si="8"/>
        <v>614.91999999999996</v>
      </c>
      <c r="K700" s="9">
        <f t="array" ref="K700">QUARTILE(IF($F$3:$F$1460=$F700,$H$3:$H$1460),1)</f>
        <v>153.72999999999999</v>
      </c>
      <c r="L700" s="9">
        <f t="array" ref="L700">QUARTILE(IF($F$3:$F$1460=$F700,$H$3:$H$1460),2)</f>
        <v>153.72999999999999</v>
      </c>
      <c r="M700" s="9">
        <f t="array" ref="M700">QUARTILE(IF($F$3:$F$1460=$F700,$H$3:$H$1460),3)</f>
        <v>153.72999999999999</v>
      </c>
    </row>
    <row r="701" spans="1:13" x14ac:dyDescent="0.25">
      <c r="A701" s="7">
        <v>701</v>
      </c>
      <c r="B701" s="6" t="s">
        <v>97</v>
      </c>
      <c r="C701" s="7">
        <v>4431412</v>
      </c>
      <c r="D701" s="23" t="s">
        <v>582</v>
      </c>
      <c r="E701" s="6" t="s">
        <v>583</v>
      </c>
      <c r="F701" s="21" t="s">
        <v>32</v>
      </c>
      <c r="G701" s="45" t="s">
        <v>637</v>
      </c>
      <c r="H701" s="22">
        <v>2733.39</v>
      </c>
      <c r="I701" s="9">
        <v>4</v>
      </c>
      <c r="J701" s="22">
        <f t="shared" si="8"/>
        <v>10933.56</v>
      </c>
      <c r="K701" s="9">
        <f t="array" ref="K701">QUARTILE(IF($F$3:$F$1460=$F701,$H$3:$H$1460),1)</f>
        <v>59.227499999999999</v>
      </c>
      <c r="L701" s="9">
        <f t="array" ref="L701">QUARTILE(IF($F$3:$F$1460=$F701,$H$3:$H$1460),2)</f>
        <v>332.14</v>
      </c>
      <c r="M701" s="9">
        <f t="array" ref="M701">QUARTILE(IF($F$3:$F$1460=$F701,$H$3:$H$1460),3)</f>
        <v>1331.8050000000001</v>
      </c>
    </row>
    <row r="702" spans="1:13" x14ac:dyDescent="0.25">
      <c r="A702" s="7">
        <v>702</v>
      </c>
      <c r="B702" s="6" t="s">
        <v>97</v>
      </c>
      <c r="C702" s="7">
        <v>4431412</v>
      </c>
      <c r="D702" s="23" t="s">
        <v>582</v>
      </c>
      <c r="E702" s="6" t="s">
        <v>583</v>
      </c>
      <c r="F702" s="21" t="s">
        <v>31</v>
      </c>
      <c r="G702" s="6" t="s">
        <v>638</v>
      </c>
      <c r="H702" s="22">
        <v>2353.1</v>
      </c>
      <c r="I702" s="9">
        <v>6</v>
      </c>
      <c r="J702" s="22">
        <f t="shared" si="8"/>
        <v>14118.599999999999</v>
      </c>
      <c r="K702" s="9">
        <f t="array" ref="K702">QUARTILE(IF($F$3:$F$1460=$F702,$H$3:$H$1460),1)</f>
        <v>55.5</v>
      </c>
      <c r="L702" s="9">
        <f t="array" ref="L702">QUARTILE(IF($F$3:$F$1460=$F702,$H$3:$H$1460),2)</f>
        <v>91.88</v>
      </c>
      <c r="M702" s="9">
        <f t="array" ref="M702">QUARTILE(IF($F$3:$F$1460=$F702,$H$3:$H$1460),3)</f>
        <v>148.36000000000001</v>
      </c>
    </row>
    <row r="703" spans="1:13" x14ac:dyDescent="0.25">
      <c r="A703" s="7">
        <v>703</v>
      </c>
      <c r="B703" s="6" t="s">
        <v>97</v>
      </c>
      <c r="C703" s="7">
        <v>4431412</v>
      </c>
      <c r="D703" s="23" t="s">
        <v>582</v>
      </c>
      <c r="E703" s="6" t="s">
        <v>583</v>
      </c>
      <c r="F703" s="21" t="s">
        <v>31</v>
      </c>
      <c r="G703" s="6" t="s">
        <v>639</v>
      </c>
      <c r="H703" s="22">
        <v>910.33</v>
      </c>
      <c r="I703" s="9">
        <v>66</v>
      </c>
      <c r="J703" s="22">
        <f t="shared" si="8"/>
        <v>60081.780000000006</v>
      </c>
      <c r="K703" s="9">
        <f t="array" ref="K703">QUARTILE(IF($F$3:$F$1460=$F703,$H$3:$H$1460),1)</f>
        <v>55.5</v>
      </c>
      <c r="L703" s="9">
        <f t="array" ref="L703">QUARTILE(IF($F$3:$F$1460=$F703,$H$3:$H$1460),2)</f>
        <v>91.88</v>
      </c>
      <c r="M703" s="9">
        <f t="array" ref="M703">QUARTILE(IF($F$3:$F$1460=$F703,$H$3:$H$1460),3)</f>
        <v>148.36000000000001</v>
      </c>
    </row>
    <row r="704" spans="1:13" x14ac:dyDescent="0.25">
      <c r="A704" s="7">
        <v>704</v>
      </c>
      <c r="B704" s="6" t="s">
        <v>97</v>
      </c>
      <c r="C704" s="7">
        <v>4431412</v>
      </c>
      <c r="D704" s="23" t="s">
        <v>582</v>
      </c>
      <c r="E704" s="6" t="s">
        <v>583</v>
      </c>
      <c r="F704" s="21" t="s">
        <v>31</v>
      </c>
      <c r="G704" s="6" t="s">
        <v>640</v>
      </c>
      <c r="H704" s="22">
        <v>518.38</v>
      </c>
      <c r="I704" s="9">
        <v>24</v>
      </c>
      <c r="J704" s="22">
        <f t="shared" si="8"/>
        <v>12441.119999999999</v>
      </c>
      <c r="K704" s="9">
        <f t="array" ref="K704">QUARTILE(IF($F$3:$F$1460=$F704,$H$3:$H$1460),1)</f>
        <v>55.5</v>
      </c>
      <c r="L704" s="9">
        <f t="array" ref="L704">QUARTILE(IF($F$3:$F$1460=$F704,$H$3:$H$1460),2)</f>
        <v>91.88</v>
      </c>
      <c r="M704" s="9">
        <f t="array" ref="M704">QUARTILE(IF($F$3:$F$1460=$F704,$H$3:$H$1460),3)</f>
        <v>148.36000000000001</v>
      </c>
    </row>
    <row r="705" spans="1:13" x14ac:dyDescent="0.25">
      <c r="A705" s="7">
        <v>705</v>
      </c>
      <c r="B705" s="6" t="s">
        <v>97</v>
      </c>
      <c r="C705" s="7">
        <v>4431412</v>
      </c>
      <c r="D705" s="23" t="s">
        <v>582</v>
      </c>
      <c r="E705" s="6" t="s">
        <v>583</v>
      </c>
      <c r="F705" s="21" t="s">
        <v>31</v>
      </c>
      <c r="G705" s="6" t="s">
        <v>641</v>
      </c>
      <c r="H705" s="22">
        <v>693.55</v>
      </c>
      <c r="I705" s="9">
        <v>20</v>
      </c>
      <c r="J705" s="22">
        <f t="shared" si="8"/>
        <v>13871</v>
      </c>
      <c r="K705" s="9">
        <f t="array" ref="K705">QUARTILE(IF($F$3:$F$1460=$F705,$H$3:$H$1460),1)</f>
        <v>55.5</v>
      </c>
      <c r="L705" s="9">
        <f t="array" ref="L705">QUARTILE(IF($F$3:$F$1460=$F705,$H$3:$H$1460),2)</f>
        <v>91.88</v>
      </c>
      <c r="M705" s="9">
        <f t="array" ref="M705">QUARTILE(IF($F$3:$F$1460=$F705,$H$3:$H$1460),3)</f>
        <v>148.36000000000001</v>
      </c>
    </row>
    <row r="706" spans="1:13" x14ac:dyDescent="0.25">
      <c r="A706" s="7">
        <v>706</v>
      </c>
      <c r="B706" s="6" t="s">
        <v>97</v>
      </c>
      <c r="C706" s="7">
        <v>4431412</v>
      </c>
      <c r="D706" s="23" t="s">
        <v>582</v>
      </c>
      <c r="E706" s="6" t="s">
        <v>583</v>
      </c>
      <c r="F706" s="21" t="s">
        <v>47</v>
      </c>
      <c r="G706" s="6" t="s">
        <v>642</v>
      </c>
      <c r="H706" s="22">
        <v>358.2</v>
      </c>
      <c r="I706" s="9">
        <v>26</v>
      </c>
      <c r="J706" s="22">
        <f t="shared" si="8"/>
        <v>9313.1999999999989</v>
      </c>
      <c r="K706" s="9">
        <f t="array" ref="K706">QUARTILE(IF($F$3:$F$1460=$F706,$H$3:$H$1460),1)</f>
        <v>279</v>
      </c>
      <c r="L706" s="9">
        <f t="array" ref="L706">QUARTILE(IF($F$3:$F$1460=$F706,$H$3:$H$1460),2)</f>
        <v>358.2</v>
      </c>
      <c r="M706" s="9">
        <f t="array" ref="M706">QUARTILE(IF($F$3:$F$1460=$F706,$H$3:$H$1460),3)</f>
        <v>705</v>
      </c>
    </row>
    <row r="707" spans="1:13" x14ac:dyDescent="0.25">
      <c r="A707" s="7">
        <v>707</v>
      </c>
      <c r="B707" s="6" t="s">
        <v>97</v>
      </c>
      <c r="C707" s="7">
        <v>4431412</v>
      </c>
      <c r="D707" s="23" t="s">
        <v>582</v>
      </c>
      <c r="E707" s="6" t="s">
        <v>583</v>
      </c>
      <c r="F707" s="21" t="s">
        <v>64</v>
      </c>
      <c r="G707" s="6" t="s">
        <v>643</v>
      </c>
      <c r="H707" s="22">
        <v>993.88</v>
      </c>
      <c r="I707" s="9">
        <v>3</v>
      </c>
      <c r="J707" s="22">
        <f t="shared" si="8"/>
        <v>2981.64</v>
      </c>
      <c r="K707" s="9">
        <f t="array" ref="K707">QUARTILE(IF($F$3:$F$1460=$F707,$H$3:$H$1460),1)</f>
        <v>1308.4649999999999</v>
      </c>
      <c r="L707" s="9">
        <f t="array" ref="L707">QUARTILE(IF($F$3:$F$1460=$F707,$H$3:$H$1460),2)</f>
        <v>1623.05</v>
      </c>
      <c r="M707" s="9">
        <f t="array" ref="M707">QUARTILE(IF($F$3:$F$1460=$F707,$H$3:$H$1460),3)</f>
        <v>3942.2</v>
      </c>
    </row>
    <row r="708" spans="1:13" x14ac:dyDescent="0.25">
      <c r="A708" s="7">
        <v>708</v>
      </c>
      <c r="B708" s="6" t="s">
        <v>97</v>
      </c>
      <c r="C708" s="7">
        <v>4431412</v>
      </c>
      <c r="D708" s="23" t="s">
        <v>582</v>
      </c>
      <c r="E708" s="6" t="s">
        <v>583</v>
      </c>
      <c r="F708" s="21" t="s">
        <v>64</v>
      </c>
      <c r="G708" s="6" t="s">
        <v>644</v>
      </c>
      <c r="H708" s="22">
        <v>1623.05</v>
      </c>
      <c r="I708" s="9">
        <v>3</v>
      </c>
      <c r="J708" s="22">
        <f t="shared" si="8"/>
        <v>4869.1499999999996</v>
      </c>
      <c r="K708" s="9">
        <f t="array" ref="K708">QUARTILE(IF($F$3:$F$1460=$F708,$H$3:$H$1460),1)</f>
        <v>1308.4649999999999</v>
      </c>
      <c r="L708" s="9">
        <f t="array" ref="L708">QUARTILE(IF($F$3:$F$1460=$F708,$H$3:$H$1460),2)</f>
        <v>1623.05</v>
      </c>
      <c r="M708" s="9">
        <f t="array" ref="M708">QUARTILE(IF($F$3:$F$1460=$F708,$H$3:$H$1460),3)</f>
        <v>3942.2</v>
      </c>
    </row>
    <row r="709" spans="1:13" x14ac:dyDescent="0.25">
      <c r="A709" s="7">
        <v>709</v>
      </c>
      <c r="B709" s="6" t="s">
        <v>97</v>
      </c>
      <c r="C709" s="7">
        <v>4431412</v>
      </c>
      <c r="D709" s="23" t="s">
        <v>582</v>
      </c>
      <c r="E709" s="6" t="s">
        <v>583</v>
      </c>
      <c r="F709" s="21" t="s">
        <v>11</v>
      </c>
      <c r="G709" s="6" t="s">
        <v>645</v>
      </c>
      <c r="H709" s="22">
        <v>614.9</v>
      </c>
      <c r="I709" s="9">
        <v>2</v>
      </c>
      <c r="J709" s="22">
        <f t="shared" si="8"/>
        <v>1229.8</v>
      </c>
      <c r="K709" s="9">
        <f t="array" ref="K709">QUARTILE(IF($F$3:$F$1460=$F709,$H$3:$H$1460),1)</f>
        <v>9.8249999999999993</v>
      </c>
      <c r="L709" s="9">
        <f t="array" ref="L709">QUARTILE(IF($F$3:$F$1460=$F709,$H$3:$H$1460),2)</f>
        <v>21.14</v>
      </c>
      <c r="M709" s="9">
        <f t="array" ref="M709">QUARTILE(IF($F$3:$F$1460=$F709,$H$3:$H$1460),3)</f>
        <v>248.75</v>
      </c>
    </row>
    <row r="710" spans="1:13" x14ac:dyDescent="0.25">
      <c r="A710" s="7">
        <v>710</v>
      </c>
      <c r="B710" s="6" t="s">
        <v>97</v>
      </c>
      <c r="C710" s="7">
        <v>4431412</v>
      </c>
      <c r="D710" s="23" t="s">
        <v>582</v>
      </c>
      <c r="E710" s="6" t="s">
        <v>583</v>
      </c>
      <c r="F710" s="21" t="s">
        <v>17</v>
      </c>
      <c r="G710" s="6" t="s">
        <v>646</v>
      </c>
      <c r="H710" s="22">
        <v>4537.3900000000003</v>
      </c>
      <c r="I710" s="9">
        <v>1</v>
      </c>
      <c r="J710" s="22">
        <f t="shared" si="8"/>
        <v>4537.3900000000003</v>
      </c>
      <c r="K710" s="9">
        <f t="array" ref="K710">QUARTILE(IF($F$3:$F$1460=$F710,$H$3:$H$1460),1)</f>
        <v>17.549999999999997</v>
      </c>
      <c r="L710" s="9">
        <f t="array" ref="L710">QUARTILE(IF($F$3:$F$1460=$F710,$H$3:$H$1460),2)</f>
        <v>275.8</v>
      </c>
      <c r="M710" s="9">
        <f t="array" ref="M710">QUARTILE(IF($F$3:$F$1460=$F710,$H$3:$H$1460),3)</f>
        <v>11191.057499999999</v>
      </c>
    </row>
    <row r="711" spans="1:13" x14ac:dyDescent="0.25">
      <c r="A711" s="7">
        <v>711</v>
      </c>
      <c r="B711" s="6" t="s">
        <v>97</v>
      </c>
      <c r="C711" s="7">
        <v>4431412</v>
      </c>
      <c r="D711" s="23" t="s">
        <v>582</v>
      </c>
      <c r="E711" s="6" t="s">
        <v>583</v>
      </c>
      <c r="F711" s="21" t="s">
        <v>17</v>
      </c>
      <c r="G711" s="6" t="s">
        <v>647</v>
      </c>
      <c r="H711" s="22">
        <v>115.854</v>
      </c>
      <c r="I711" s="9">
        <v>2</v>
      </c>
      <c r="J711" s="22">
        <f t="shared" si="8"/>
        <v>231.708</v>
      </c>
      <c r="K711" s="9">
        <f t="array" ref="K711">QUARTILE(IF($F$3:$F$1460=$F711,$H$3:$H$1460),1)</f>
        <v>17.549999999999997</v>
      </c>
      <c r="L711" s="9">
        <f t="array" ref="L711">QUARTILE(IF($F$3:$F$1460=$F711,$H$3:$H$1460),2)</f>
        <v>275.8</v>
      </c>
      <c r="M711" s="9">
        <f t="array" ref="M711">QUARTILE(IF($F$3:$F$1460=$F711,$H$3:$H$1460),3)</f>
        <v>11191.057499999999</v>
      </c>
    </row>
    <row r="712" spans="1:13" x14ac:dyDescent="0.25">
      <c r="A712" s="7">
        <v>712</v>
      </c>
      <c r="B712" s="6" t="s">
        <v>97</v>
      </c>
      <c r="C712" s="7">
        <v>4431412</v>
      </c>
      <c r="D712" s="23" t="s">
        <v>582</v>
      </c>
      <c r="E712" s="6" t="s">
        <v>583</v>
      </c>
      <c r="F712" s="21" t="s">
        <v>79</v>
      </c>
      <c r="G712" s="6" t="s">
        <v>648</v>
      </c>
      <c r="H712" s="22">
        <v>20430</v>
      </c>
      <c r="I712" s="9">
        <v>4</v>
      </c>
      <c r="J712" s="22">
        <f t="shared" si="8"/>
        <v>81720</v>
      </c>
      <c r="K712" s="9">
        <f t="array" ref="K712">QUARTILE(IF($F$3:$F$1460=$F712,$H$3:$H$1460),1)</f>
        <v>17598.830000000002</v>
      </c>
      <c r="L712" s="9">
        <f t="array" ref="L712">QUARTILE(IF($F$3:$F$1460=$F712,$H$3:$H$1460),2)</f>
        <v>60471.06</v>
      </c>
      <c r="M712" s="9">
        <f t="array" ref="M712">QUARTILE(IF($F$3:$F$1460=$F712,$H$3:$H$1460),3)</f>
        <v>139860.215</v>
      </c>
    </row>
    <row r="713" spans="1:13" x14ac:dyDescent="0.25">
      <c r="A713" s="7">
        <v>713</v>
      </c>
      <c r="B713" s="6" t="s">
        <v>97</v>
      </c>
      <c r="C713" s="7">
        <v>4431412</v>
      </c>
      <c r="D713" s="23" t="s">
        <v>582</v>
      </c>
      <c r="E713" s="6" t="s">
        <v>583</v>
      </c>
      <c r="F713" s="21" t="s">
        <v>580</v>
      </c>
      <c r="G713" s="6" t="s">
        <v>649</v>
      </c>
      <c r="H713" s="22">
        <v>945.23</v>
      </c>
      <c r="I713" s="9">
        <v>12</v>
      </c>
      <c r="J713" s="22">
        <f t="shared" si="8"/>
        <v>11342.76</v>
      </c>
      <c r="K713" s="9">
        <f t="array" ref="K713">QUARTILE(IF($F$3:$F$1460=$F713,$H$3:$H$1460),1)</f>
        <v>1759.125</v>
      </c>
      <c r="L713" s="9">
        <f t="array" ref="L713">QUARTILE(IF($F$3:$F$1460=$F713,$H$3:$H$1460),2)</f>
        <v>3923.7249999999999</v>
      </c>
      <c r="M713" s="9">
        <f t="array" ref="M713">QUARTILE(IF($F$3:$F$1460=$F713,$H$3:$H$1460),3)</f>
        <v>12062.504999999999</v>
      </c>
    </row>
    <row r="714" spans="1:13" x14ac:dyDescent="0.25">
      <c r="A714" s="7">
        <v>714</v>
      </c>
      <c r="B714" s="6" t="s">
        <v>97</v>
      </c>
      <c r="C714" s="7">
        <v>4431412</v>
      </c>
      <c r="D714" s="23" t="s">
        <v>582</v>
      </c>
      <c r="E714" s="6" t="s">
        <v>583</v>
      </c>
      <c r="F714" s="21" t="s">
        <v>580</v>
      </c>
      <c r="G714" s="6" t="s">
        <v>650</v>
      </c>
      <c r="H714" s="22">
        <v>2690</v>
      </c>
      <c r="I714" s="9">
        <v>4</v>
      </c>
      <c r="J714" s="22">
        <f t="shared" si="8"/>
        <v>10760</v>
      </c>
      <c r="K714" s="9">
        <f t="array" ref="K714">QUARTILE(IF($F$3:$F$1460=$F714,$H$3:$H$1460),1)</f>
        <v>1759.125</v>
      </c>
      <c r="L714" s="9">
        <f t="array" ref="L714">QUARTILE(IF($F$3:$F$1460=$F714,$H$3:$H$1460),2)</f>
        <v>3923.7249999999999</v>
      </c>
      <c r="M714" s="9">
        <f t="array" ref="M714">QUARTILE(IF($F$3:$F$1460=$F714,$H$3:$H$1460),3)</f>
        <v>12062.504999999999</v>
      </c>
    </row>
    <row r="715" spans="1:13" x14ac:dyDescent="0.25">
      <c r="A715" s="7">
        <v>715</v>
      </c>
      <c r="B715" s="6" t="s">
        <v>97</v>
      </c>
      <c r="C715" s="7">
        <v>4431412</v>
      </c>
      <c r="D715" s="23" t="s">
        <v>582</v>
      </c>
      <c r="E715" s="6" t="s">
        <v>583</v>
      </c>
      <c r="F715" s="21" t="s">
        <v>77</v>
      </c>
      <c r="G715" s="6" t="s">
        <v>651</v>
      </c>
      <c r="H715" s="22">
        <v>13200</v>
      </c>
      <c r="I715" s="9">
        <v>2</v>
      </c>
      <c r="J715" s="22">
        <f t="shared" si="8"/>
        <v>26400</v>
      </c>
      <c r="K715" s="9">
        <f t="array" ref="K715">QUARTILE(IF($F$3:$F$1460=$F715,$H$3:$H$1460),1)</f>
        <v>12800</v>
      </c>
      <c r="L715" s="9">
        <f t="array" ref="L715">QUARTILE(IF($F$3:$F$1460=$F715,$H$3:$H$1460),2)</f>
        <v>18793.535</v>
      </c>
      <c r="M715" s="9">
        <f t="array" ref="M715">QUARTILE(IF($F$3:$F$1460=$F715,$H$3:$H$1460),3)</f>
        <v>26260.85</v>
      </c>
    </row>
    <row r="716" spans="1:13" ht="17.25" customHeight="1" x14ac:dyDescent="0.25">
      <c r="A716" s="7">
        <v>716</v>
      </c>
      <c r="B716" s="6" t="s">
        <v>97</v>
      </c>
      <c r="C716" s="7">
        <v>4431412</v>
      </c>
      <c r="D716" s="23" t="s">
        <v>582</v>
      </c>
      <c r="E716" s="6" t="s">
        <v>583</v>
      </c>
      <c r="F716" s="21" t="s">
        <v>36</v>
      </c>
      <c r="G716" s="6" t="s">
        <v>652</v>
      </c>
      <c r="H716" s="22">
        <v>567</v>
      </c>
      <c r="I716" s="9">
        <v>70</v>
      </c>
      <c r="J716" s="22">
        <f t="shared" si="8"/>
        <v>39690</v>
      </c>
      <c r="K716" s="9">
        <f t="array" ref="K716">QUARTILE(IF($F$3:$F$1460=$F716,$H$3:$H$1460),1)</f>
        <v>88.21</v>
      </c>
      <c r="L716" s="9">
        <f t="array" ref="L716">QUARTILE(IF($F$3:$F$1460=$F716,$H$3:$H$1460),2)</f>
        <v>134.57</v>
      </c>
      <c r="M716" s="9">
        <f t="array" ref="M716">QUARTILE(IF($F$3:$F$1460=$F716,$H$3:$H$1460),3)</f>
        <v>252.7</v>
      </c>
    </row>
    <row r="717" spans="1:13" x14ac:dyDescent="0.25">
      <c r="A717" s="7">
        <v>717</v>
      </c>
      <c r="B717" s="6" t="s">
        <v>97</v>
      </c>
      <c r="C717" s="7">
        <v>4431412</v>
      </c>
      <c r="D717" s="23" t="s">
        <v>582</v>
      </c>
      <c r="E717" s="6" t="s">
        <v>583</v>
      </c>
      <c r="F717" s="21" t="s">
        <v>61</v>
      </c>
      <c r="G717" s="45" t="s">
        <v>653</v>
      </c>
      <c r="H717" s="22">
        <v>790</v>
      </c>
      <c r="I717" s="9">
        <v>28</v>
      </c>
      <c r="J717" s="22">
        <f t="shared" si="8"/>
        <v>22120</v>
      </c>
      <c r="K717" s="9">
        <f t="array" ref="K717">QUARTILE(IF($F$3:$F$1460=$F717,$H$3:$H$1460),1)</f>
        <v>709.95</v>
      </c>
      <c r="L717" s="9">
        <f t="array" ref="L717">QUARTILE(IF($F$3:$F$1460=$F717,$H$3:$H$1460),2)</f>
        <v>1000</v>
      </c>
      <c r="M717" s="9">
        <f t="array" ref="M717">QUARTILE(IF($F$3:$F$1460=$F717,$H$3:$H$1460),3)</f>
        <v>5171.4583333333339</v>
      </c>
    </row>
    <row r="718" spans="1:13" x14ac:dyDescent="0.25">
      <c r="A718" s="7">
        <v>718</v>
      </c>
      <c r="B718" s="6" t="s">
        <v>97</v>
      </c>
      <c r="C718" s="7">
        <v>4431412</v>
      </c>
      <c r="D718" s="23" t="s">
        <v>582</v>
      </c>
      <c r="E718" s="6" t="s">
        <v>583</v>
      </c>
      <c r="F718" s="21" t="s">
        <v>58</v>
      </c>
      <c r="G718" s="45" t="s">
        <v>654</v>
      </c>
      <c r="H718" s="22">
        <v>472.8</v>
      </c>
      <c r="I718" s="9">
        <v>10</v>
      </c>
      <c r="J718" s="22">
        <f t="shared" si="8"/>
        <v>4728</v>
      </c>
      <c r="K718" s="9">
        <f t="array" ref="K718">QUARTILE(IF($F$3:$F$1460=$F718,$H$3:$H$1460),1)</f>
        <v>559.6</v>
      </c>
      <c r="L718" s="9">
        <f t="array" ref="L718">QUARTILE(IF($F$3:$F$1460=$F718,$H$3:$H$1460),2)</f>
        <v>646.4</v>
      </c>
      <c r="M718" s="9">
        <f t="array" ref="M718">QUARTILE(IF($F$3:$F$1460=$F718,$H$3:$H$1460),3)</f>
        <v>733.2</v>
      </c>
    </row>
    <row r="719" spans="1:13" x14ac:dyDescent="0.25">
      <c r="A719" s="7">
        <v>719</v>
      </c>
      <c r="B719" s="6" t="s">
        <v>97</v>
      </c>
      <c r="C719" s="7">
        <v>4431412</v>
      </c>
      <c r="D719" s="23" t="s">
        <v>582</v>
      </c>
      <c r="E719" s="6" t="s">
        <v>583</v>
      </c>
      <c r="F719" s="21" t="s">
        <v>58</v>
      </c>
      <c r="G719" s="45" t="s">
        <v>655</v>
      </c>
      <c r="H719" s="22">
        <v>820</v>
      </c>
      <c r="I719" s="9">
        <v>32</v>
      </c>
      <c r="J719" s="22">
        <f t="shared" si="8"/>
        <v>26240</v>
      </c>
      <c r="K719" s="9">
        <f t="array" ref="K719">QUARTILE(IF($F$3:$F$1460=$F719,$H$3:$H$1460),1)</f>
        <v>559.6</v>
      </c>
      <c r="L719" s="9">
        <f t="array" ref="L719">QUARTILE(IF($F$3:$F$1460=$F719,$H$3:$H$1460),2)</f>
        <v>646.4</v>
      </c>
      <c r="M719" s="9">
        <f t="array" ref="M719">QUARTILE(IF($F$3:$F$1460=$F719,$H$3:$H$1460),3)</f>
        <v>733.2</v>
      </c>
    </row>
    <row r="720" spans="1:13" x14ac:dyDescent="0.25">
      <c r="A720" s="7">
        <v>720</v>
      </c>
      <c r="B720" s="6" t="s">
        <v>97</v>
      </c>
      <c r="C720" s="7">
        <v>4431412</v>
      </c>
      <c r="D720" s="23" t="s">
        <v>582</v>
      </c>
      <c r="E720" s="6" t="s">
        <v>583</v>
      </c>
      <c r="F720" s="21" t="s">
        <v>70</v>
      </c>
      <c r="G720" s="6" t="s">
        <v>656</v>
      </c>
      <c r="H720" s="22">
        <v>2800</v>
      </c>
      <c r="I720" s="9">
        <v>30</v>
      </c>
      <c r="J720" s="22">
        <f t="shared" si="8"/>
        <v>84000</v>
      </c>
      <c r="K720" s="9">
        <f t="array" ref="K720">QUARTILE(IF($F$3:$F$1460=$F720,$H$3:$H$1460),1)</f>
        <v>2700</v>
      </c>
      <c r="L720" s="9">
        <f t="array" ref="L720">QUARTILE(IF($F$3:$F$1460=$F720,$H$3:$H$1460),2)</f>
        <v>2700</v>
      </c>
      <c r="M720" s="9">
        <f t="array" ref="M720">QUARTILE(IF($F$3:$F$1460=$F720,$H$3:$H$1460),3)</f>
        <v>2750</v>
      </c>
    </row>
    <row r="721" spans="1:13" x14ac:dyDescent="0.25">
      <c r="A721" s="7">
        <v>721</v>
      </c>
      <c r="B721" s="6" t="s">
        <v>97</v>
      </c>
      <c r="C721" s="7">
        <v>4431412</v>
      </c>
      <c r="D721" s="23" t="s">
        <v>582</v>
      </c>
      <c r="E721" s="6" t="s">
        <v>583</v>
      </c>
      <c r="F721" s="21" t="s">
        <v>56</v>
      </c>
      <c r="G721" s="6" t="s">
        <v>657</v>
      </c>
      <c r="H721" s="22">
        <v>935</v>
      </c>
      <c r="I721" s="9">
        <v>5</v>
      </c>
      <c r="J721" s="22">
        <f t="shared" si="8"/>
        <v>4675</v>
      </c>
      <c r="K721" s="9">
        <f t="array" ref="K721">QUARTILE(IF($F$3:$F$1460=$F721,$H$3:$H$1460),1)</f>
        <v>506.75</v>
      </c>
      <c r="L721" s="9">
        <f t="array" ref="L721">QUARTILE(IF($F$3:$F$1460=$F721,$H$3:$H$1460),2)</f>
        <v>654.5</v>
      </c>
      <c r="M721" s="9">
        <f t="array" ref="M721">QUARTILE(IF($F$3:$F$1460=$F721,$H$3:$H$1460),3)</f>
        <v>796.25</v>
      </c>
    </row>
    <row r="722" spans="1:13" x14ac:dyDescent="0.25">
      <c r="A722" s="7">
        <v>722</v>
      </c>
      <c r="B722" s="6" t="s">
        <v>97</v>
      </c>
      <c r="C722" s="7">
        <v>4431412</v>
      </c>
      <c r="D722" s="23" t="s">
        <v>582</v>
      </c>
      <c r="E722" s="6" t="s">
        <v>583</v>
      </c>
      <c r="F722" s="21" t="s">
        <v>56</v>
      </c>
      <c r="G722" s="6" t="s">
        <v>658</v>
      </c>
      <c r="H722" s="22">
        <v>559</v>
      </c>
      <c r="I722" s="9">
        <v>10</v>
      </c>
      <c r="J722" s="22">
        <f t="shared" si="8"/>
        <v>5590</v>
      </c>
      <c r="K722" s="9">
        <f t="array" ref="K722">QUARTILE(IF($F$3:$F$1460=$F722,$H$3:$H$1460),1)</f>
        <v>506.75</v>
      </c>
      <c r="L722" s="9">
        <f t="array" ref="L722">QUARTILE(IF($F$3:$F$1460=$F722,$H$3:$H$1460),2)</f>
        <v>654.5</v>
      </c>
      <c r="M722" s="9">
        <f t="array" ref="M722">QUARTILE(IF($F$3:$F$1460=$F722,$H$3:$H$1460),3)</f>
        <v>796.25</v>
      </c>
    </row>
    <row r="723" spans="1:13" x14ac:dyDescent="0.25">
      <c r="A723" s="7">
        <v>723</v>
      </c>
      <c r="B723" s="6" t="s">
        <v>97</v>
      </c>
      <c r="C723" s="7">
        <v>4431412</v>
      </c>
      <c r="D723" s="23" t="s">
        <v>582</v>
      </c>
      <c r="E723" s="6" t="s">
        <v>583</v>
      </c>
      <c r="F723" s="21" t="s">
        <v>56</v>
      </c>
      <c r="G723" s="6" t="s">
        <v>659</v>
      </c>
      <c r="H723" s="22">
        <v>350</v>
      </c>
      <c r="I723" s="9">
        <v>172.4</v>
      </c>
      <c r="J723" s="22">
        <f t="shared" si="8"/>
        <v>60340</v>
      </c>
      <c r="K723" s="9">
        <f t="array" ref="K723">QUARTILE(IF($F$3:$F$1460=$F723,$H$3:$H$1460),1)</f>
        <v>506.75</v>
      </c>
      <c r="L723" s="9">
        <f t="array" ref="L723">QUARTILE(IF($F$3:$F$1460=$F723,$H$3:$H$1460),2)</f>
        <v>654.5</v>
      </c>
      <c r="M723" s="9">
        <f t="array" ref="M723">QUARTILE(IF($F$3:$F$1460=$F723,$H$3:$H$1460),3)</f>
        <v>796.25</v>
      </c>
    </row>
    <row r="724" spans="1:13" x14ac:dyDescent="0.25">
      <c r="A724" s="7">
        <v>724</v>
      </c>
      <c r="B724" s="6" t="s">
        <v>97</v>
      </c>
      <c r="C724" s="7">
        <v>4431412</v>
      </c>
      <c r="D724" s="23" t="s">
        <v>582</v>
      </c>
      <c r="E724" s="6" t="s">
        <v>583</v>
      </c>
      <c r="F724" s="4" t="s">
        <v>38</v>
      </c>
      <c r="G724" s="6" t="s">
        <v>660</v>
      </c>
      <c r="H724" s="22">
        <v>188</v>
      </c>
      <c r="I724" s="9">
        <v>50</v>
      </c>
      <c r="J724" s="22">
        <f t="shared" si="8"/>
        <v>9400</v>
      </c>
      <c r="K724" s="9">
        <f t="array" ref="K724">QUARTILE(IF($F$3:$F$1460=$F724,$H$3:$H$1460),1)</f>
        <v>92</v>
      </c>
      <c r="L724" s="9">
        <f t="array" ref="L724">QUARTILE(IF($F$3:$F$1460=$F724,$H$3:$H$1460),2)</f>
        <v>124</v>
      </c>
      <c r="M724" s="9">
        <f t="array" ref="M724">QUARTILE(IF($F$3:$F$1460=$F724,$H$3:$H$1460),3)</f>
        <v>156</v>
      </c>
    </row>
    <row r="725" spans="1:13" x14ac:dyDescent="0.25">
      <c r="A725" s="7">
        <v>725</v>
      </c>
      <c r="B725" s="6" t="s">
        <v>97</v>
      </c>
      <c r="C725" s="7">
        <v>4431412</v>
      </c>
      <c r="D725" s="23" t="s">
        <v>582</v>
      </c>
      <c r="E725" s="6" t="s">
        <v>583</v>
      </c>
      <c r="F725" s="4" t="s">
        <v>38</v>
      </c>
      <c r="G725" s="6" t="s">
        <v>661</v>
      </c>
      <c r="H725" s="22">
        <v>60</v>
      </c>
      <c r="I725" s="9">
        <v>20</v>
      </c>
      <c r="J725" s="22">
        <f t="shared" si="8"/>
        <v>1200</v>
      </c>
      <c r="K725" s="9">
        <f t="array" ref="K725">QUARTILE(IF($F$3:$F$1460=$F725,$H$3:$H$1460),1)</f>
        <v>92</v>
      </c>
      <c r="L725" s="9">
        <f t="array" ref="L725">QUARTILE(IF($F$3:$F$1460=$F725,$H$3:$H$1460),2)</f>
        <v>124</v>
      </c>
      <c r="M725" s="9">
        <f t="array" ref="M725">QUARTILE(IF($F$3:$F$1460=$F725,$H$3:$H$1460),3)</f>
        <v>156</v>
      </c>
    </row>
    <row r="726" spans="1:13" x14ac:dyDescent="0.25">
      <c r="A726" s="7">
        <v>726</v>
      </c>
      <c r="B726" s="6" t="s">
        <v>662</v>
      </c>
      <c r="C726" s="7">
        <v>4274843</v>
      </c>
      <c r="D726" s="23" t="s">
        <v>663</v>
      </c>
      <c r="E726" s="6" t="s">
        <v>664</v>
      </c>
      <c r="F726" s="21" t="s">
        <v>75</v>
      </c>
      <c r="G726" s="45" t="s">
        <v>665</v>
      </c>
      <c r="H726" s="22">
        <v>5181</v>
      </c>
      <c r="I726" s="9">
        <v>6</v>
      </c>
      <c r="J726" s="22">
        <f t="shared" si="8"/>
        <v>31086</v>
      </c>
      <c r="K726" s="9">
        <f t="array" ref="K726">QUARTILE(IF($F$3:$F$1460=$F726,$H$3:$H$1460),1)</f>
        <v>7209.15</v>
      </c>
      <c r="L726" s="9">
        <f t="array" ref="L726">QUARTILE(IF($F$3:$F$1460=$F726,$H$3:$H$1460),2)</f>
        <v>15534.78</v>
      </c>
      <c r="M726" s="9">
        <f t="array" ref="M726">QUARTILE(IF($F$3:$F$1460=$F726,$H$3:$H$1460),3)</f>
        <v>29950.799999999999</v>
      </c>
    </row>
    <row r="727" spans="1:13" x14ac:dyDescent="0.25">
      <c r="A727" s="7">
        <v>727</v>
      </c>
      <c r="B727" s="6" t="s">
        <v>662</v>
      </c>
      <c r="C727" s="7">
        <v>4274843</v>
      </c>
      <c r="D727" s="23" t="s">
        <v>663</v>
      </c>
      <c r="E727" s="6" t="s">
        <v>664</v>
      </c>
      <c r="F727" s="21" t="s">
        <v>75</v>
      </c>
      <c r="G727" s="45" t="s">
        <v>666</v>
      </c>
      <c r="H727" s="22">
        <v>11869</v>
      </c>
      <c r="I727" s="9">
        <v>22</v>
      </c>
      <c r="J727" s="22">
        <f t="shared" si="8"/>
        <v>261118</v>
      </c>
      <c r="K727" s="9">
        <f t="array" ref="K727">QUARTILE(IF($F$3:$F$1460=$F727,$H$3:$H$1460),1)</f>
        <v>7209.15</v>
      </c>
      <c r="L727" s="9">
        <f t="array" ref="L727">QUARTILE(IF($F$3:$F$1460=$F727,$H$3:$H$1460),2)</f>
        <v>15534.78</v>
      </c>
      <c r="M727" s="9">
        <f t="array" ref="M727">QUARTILE(IF($F$3:$F$1460=$F727,$H$3:$H$1460),3)</f>
        <v>29950.799999999999</v>
      </c>
    </row>
    <row r="728" spans="1:13" x14ac:dyDescent="0.25">
      <c r="A728" s="7">
        <v>728</v>
      </c>
      <c r="B728" s="6" t="s">
        <v>662</v>
      </c>
      <c r="C728" s="7">
        <v>4274843</v>
      </c>
      <c r="D728" s="23" t="s">
        <v>663</v>
      </c>
      <c r="E728" s="6" t="s">
        <v>664</v>
      </c>
      <c r="F728" s="21" t="s">
        <v>75</v>
      </c>
      <c r="G728" s="45" t="s">
        <v>667</v>
      </c>
      <c r="H728" s="22">
        <v>15450</v>
      </c>
      <c r="I728" s="9">
        <v>5</v>
      </c>
      <c r="J728" s="22">
        <f t="shared" si="8"/>
        <v>77250</v>
      </c>
      <c r="K728" s="9">
        <f t="array" ref="K728">QUARTILE(IF($F$3:$F$1460=$F728,$H$3:$H$1460),1)</f>
        <v>7209.15</v>
      </c>
      <c r="L728" s="9">
        <f t="array" ref="L728">QUARTILE(IF($F$3:$F$1460=$F728,$H$3:$H$1460),2)</f>
        <v>15534.78</v>
      </c>
      <c r="M728" s="9">
        <f t="array" ref="M728">QUARTILE(IF($F$3:$F$1460=$F728,$H$3:$H$1460),3)</f>
        <v>29950.799999999999</v>
      </c>
    </row>
    <row r="729" spans="1:13" x14ac:dyDescent="0.25">
      <c r="A729" s="7">
        <v>729</v>
      </c>
      <c r="B729" s="6" t="s">
        <v>662</v>
      </c>
      <c r="C729" s="7">
        <v>4274843</v>
      </c>
      <c r="D729" s="23" t="s">
        <v>663</v>
      </c>
      <c r="E729" s="6" t="s">
        <v>664</v>
      </c>
      <c r="F729" s="21" t="s">
        <v>75</v>
      </c>
      <c r="G729" s="45" t="s">
        <v>668</v>
      </c>
      <c r="H729" s="22">
        <v>22392.3</v>
      </c>
      <c r="I729" s="9">
        <v>2</v>
      </c>
      <c r="J729" s="22">
        <f t="shared" si="8"/>
        <v>44784.6</v>
      </c>
      <c r="K729" s="9">
        <f t="array" ref="K729">QUARTILE(IF($F$3:$F$1460=$F729,$H$3:$H$1460),1)</f>
        <v>7209.15</v>
      </c>
      <c r="L729" s="9">
        <f t="array" ref="L729">QUARTILE(IF($F$3:$F$1460=$F729,$H$3:$H$1460),2)</f>
        <v>15534.78</v>
      </c>
      <c r="M729" s="9">
        <f t="array" ref="M729">QUARTILE(IF($F$3:$F$1460=$F729,$H$3:$H$1460),3)</f>
        <v>29950.799999999999</v>
      </c>
    </row>
    <row r="730" spans="1:13" x14ac:dyDescent="0.25">
      <c r="A730" s="7">
        <v>730</v>
      </c>
      <c r="B730" s="6" t="s">
        <v>662</v>
      </c>
      <c r="C730" s="7">
        <v>4274843</v>
      </c>
      <c r="D730" s="23" t="s">
        <v>663</v>
      </c>
      <c r="E730" s="6" t="s">
        <v>664</v>
      </c>
      <c r="F730" s="21" t="s">
        <v>75</v>
      </c>
      <c r="G730" s="45" t="s">
        <v>669</v>
      </c>
      <c r="H730" s="22">
        <v>25406.25</v>
      </c>
      <c r="I730" s="9">
        <v>10</v>
      </c>
      <c r="J730" s="22">
        <f t="shared" si="8"/>
        <v>254062.5</v>
      </c>
      <c r="K730" s="9">
        <f t="array" ref="K730">QUARTILE(IF($F$3:$F$1460=$F730,$H$3:$H$1460),1)</f>
        <v>7209.15</v>
      </c>
      <c r="L730" s="9">
        <f t="array" ref="L730">QUARTILE(IF($F$3:$F$1460=$F730,$H$3:$H$1460),2)</f>
        <v>15534.78</v>
      </c>
      <c r="M730" s="9">
        <f t="array" ref="M730">QUARTILE(IF($F$3:$F$1460=$F730,$H$3:$H$1460),3)</f>
        <v>29950.799999999999</v>
      </c>
    </row>
    <row r="731" spans="1:13" x14ac:dyDescent="0.25">
      <c r="A731" s="7">
        <v>731</v>
      </c>
      <c r="B731" s="6" t="s">
        <v>662</v>
      </c>
      <c r="C731" s="7">
        <v>4274843</v>
      </c>
      <c r="D731" s="23" t="s">
        <v>663</v>
      </c>
      <c r="E731" s="6" t="s">
        <v>664</v>
      </c>
      <c r="F731" s="21" t="s">
        <v>75</v>
      </c>
      <c r="G731" s="45" t="s">
        <v>670</v>
      </c>
      <c r="H731" s="22">
        <v>12142</v>
      </c>
      <c r="I731" s="9">
        <v>20</v>
      </c>
      <c r="J731" s="22">
        <f t="shared" si="8"/>
        <v>242840</v>
      </c>
      <c r="K731" s="9">
        <f t="array" ref="K731">QUARTILE(IF($F$3:$F$1460=$F731,$H$3:$H$1460),1)</f>
        <v>7209.15</v>
      </c>
      <c r="L731" s="9">
        <f t="array" ref="L731">QUARTILE(IF($F$3:$F$1460=$F731,$H$3:$H$1460),2)</f>
        <v>15534.78</v>
      </c>
      <c r="M731" s="9">
        <f t="array" ref="M731">QUARTILE(IF($F$3:$F$1460=$F731,$H$3:$H$1460),3)</f>
        <v>29950.799999999999</v>
      </c>
    </row>
    <row r="732" spans="1:13" x14ac:dyDescent="0.25">
      <c r="A732" s="7">
        <v>732</v>
      </c>
      <c r="B732" s="6" t="s">
        <v>662</v>
      </c>
      <c r="C732" s="7">
        <v>4274843</v>
      </c>
      <c r="D732" s="23" t="s">
        <v>663</v>
      </c>
      <c r="E732" s="6" t="s">
        <v>664</v>
      </c>
      <c r="F732" s="21" t="s">
        <v>75</v>
      </c>
      <c r="G732" s="45" t="s">
        <v>671</v>
      </c>
      <c r="H732" s="22">
        <v>7551.7</v>
      </c>
      <c r="I732" s="9">
        <v>1</v>
      </c>
      <c r="J732" s="22">
        <f t="shared" si="8"/>
        <v>7551.7</v>
      </c>
      <c r="K732" s="9">
        <f t="array" ref="K732">QUARTILE(IF($F$3:$F$1460=$F732,$H$3:$H$1460),1)</f>
        <v>7209.15</v>
      </c>
      <c r="L732" s="9">
        <f t="array" ref="L732">QUARTILE(IF($F$3:$F$1460=$F732,$H$3:$H$1460),2)</f>
        <v>15534.78</v>
      </c>
      <c r="M732" s="9">
        <f t="array" ref="M732">QUARTILE(IF($F$3:$F$1460=$F732,$H$3:$H$1460),3)</f>
        <v>29950.799999999999</v>
      </c>
    </row>
    <row r="733" spans="1:13" x14ac:dyDescent="0.25">
      <c r="A733" s="7">
        <v>733</v>
      </c>
      <c r="B733" s="6" t="s">
        <v>662</v>
      </c>
      <c r="C733" s="7">
        <v>4274843</v>
      </c>
      <c r="D733" s="23" t="s">
        <v>663</v>
      </c>
      <c r="E733" s="6" t="s">
        <v>664</v>
      </c>
      <c r="F733" s="21" t="s">
        <v>75</v>
      </c>
      <c r="G733" s="45" t="s">
        <v>672</v>
      </c>
      <c r="H733" s="22">
        <v>21956</v>
      </c>
      <c r="I733" s="9">
        <v>1</v>
      </c>
      <c r="J733" s="22">
        <f t="shared" si="8"/>
        <v>21956</v>
      </c>
      <c r="K733" s="9">
        <f t="array" ref="K733">QUARTILE(IF($F$3:$F$1460=$F733,$H$3:$H$1460),1)</f>
        <v>7209.15</v>
      </c>
      <c r="L733" s="9">
        <f t="array" ref="L733">QUARTILE(IF($F$3:$F$1460=$F733,$H$3:$H$1460),2)</f>
        <v>15534.78</v>
      </c>
      <c r="M733" s="9">
        <f t="array" ref="M733">QUARTILE(IF($F$3:$F$1460=$F733,$H$3:$H$1460),3)</f>
        <v>29950.799999999999</v>
      </c>
    </row>
    <row r="734" spans="1:13" x14ac:dyDescent="0.25">
      <c r="A734" s="7">
        <v>734</v>
      </c>
      <c r="B734" s="6" t="s">
        <v>662</v>
      </c>
      <c r="C734" s="7">
        <v>4274843</v>
      </c>
      <c r="D734" s="23" t="s">
        <v>663</v>
      </c>
      <c r="E734" s="6" t="s">
        <v>664</v>
      </c>
      <c r="F734" s="21" t="s">
        <v>75</v>
      </c>
      <c r="G734" s="45" t="s">
        <v>673</v>
      </c>
      <c r="H734" s="22">
        <v>22480</v>
      </c>
      <c r="I734" s="9">
        <v>1</v>
      </c>
      <c r="J734" s="22">
        <f t="shared" si="8"/>
        <v>22480</v>
      </c>
      <c r="K734" s="9">
        <f t="array" ref="K734">QUARTILE(IF($F$3:$F$1460=$F734,$H$3:$H$1460),1)</f>
        <v>7209.15</v>
      </c>
      <c r="L734" s="9">
        <f t="array" ref="L734">QUARTILE(IF($F$3:$F$1460=$F734,$H$3:$H$1460),2)</f>
        <v>15534.78</v>
      </c>
      <c r="M734" s="9">
        <f t="array" ref="M734">QUARTILE(IF($F$3:$F$1460=$F734,$H$3:$H$1460),3)</f>
        <v>29950.799999999999</v>
      </c>
    </row>
    <row r="735" spans="1:13" x14ac:dyDescent="0.25">
      <c r="A735" s="7">
        <v>735</v>
      </c>
      <c r="B735" s="6" t="s">
        <v>662</v>
      </c>
      <c r="C735" s="7">
        <v>4274843</v>
      </c>
      <c r="D735" s="23" t="s">
        <v>663</v>
      </c>
      <c r="E735" s="6" t="s">
        <v>664</v>
      </c>
      <c r="F735" s="21" t="s">
        <v>77</v>
      </c>
      <c r="G735" s="6" t="s">
        <v>674</v>
      </c>
      <c r="H735" s="22">
        <v>18200</v>
      </c>
      <c r="I735" s="9">
        <v>8</v>
      </c>
      <c r="J735" s="22">
        <f t="shared" si="8"/>
        <v>145600</v>
      </c>
      <c r="K735" s="9">
        <f t="array" ref="K735">QUARTILE(IF($F$3:$F$1460=$F735,$H$3:$H$1460),1)</f>
        <v>12800</v>
      </c>
      <c r="L735" s="9">
        <f t="array" ref="L735">QUARTILE(IF($F$3:$F$1460=$F735,$H$3:$H$1460),2)</f>
        <v>18793.535</v>
      </c>
      <c r="M735" s="9">
        <f t="array" ref="M735">QUARTILE(IF($F$3:$F$1460=$F735,$H$3:$H$1460),3)</f>
        <v>26260.85</v>
      </c>
    </row>
    <row r="736" spans="1:13" x14ac:dyDescent="0.25">
      <c r="A736" s="7">
        <v>736</v>
      </c>
      <c r="B736" s="6" t="s">
        <v>662</v>
      </c>
      <c r="C736" s="7">
        <v>4274843</v>
      </c>
      <c r="D736" s="23" t="s">
        <v>663</v>
      </c>
      <c r="E736" s="6" t="s">
        <v>664</v>
      </c>
      <c r="F736" s="21" t="s">
        <v>77</v>
      </c>
      <c r="G736" s="6" t="s">
        <v>675</v>
      </c>
      <c r="H736" s="22">
        <v>11600</v>
      </c>
      <c r="I736" s="9">
        <v>2</v>
      </c>
      <c r="J736" s="22">
        <f t="shared" si="8"/>
        <v>23200</v>
      </c>
      <c r="K736" s="9">
        <f t="array" ref="K736">QUARTILE(IF($F$3:$F$1460=$F736,$H$3:$H$1460),1)</f>
        <v>12800</v>
      </c>
      <c r="L736" s="9">
        <f t="array" ref="L736">QUARTILE(IF($F$3:$F$1460=$F736,$H$3:$H$1460),2)</f>
        <v>18793.535</v>
      </c>
      <c r="M736" s="9">
        <f t="array" ref="M736">QUARTILE(IF($F$3:$F$1460=$F736,$H$3:$H$1460),3)</f>
        <v>26260.85</v>
      </c>
    </row>
    <row r="737" spans="1:13" x14ac:dyDescent="0.25">
      <c r="A737" s="7">
        <v>737</v>
      </c>
      <c r="B737" s="6" t="s">
        <v>662</v>
      </c>
      <c r="C737" s="7">
        <v>4274843</v>
      </c>
      <c r="D737" s="23" t="s">
        <v>663</v>
      </c>
      <c r="E737" s="6" t="s">
        <v>664</v>
      </c>
      <c r="F737" s="21" t="s">
        <v>68</v>
      </c>
      <c r="G737" s="45" t="s">
        <v>676</v>
      </c>
      <c r="H737" s="22">
        <v>52617</v>
      </c>
      <c r="I737" s="9">
        <v>2</v>
      </c>
      <c r="J737" s="22">
        <f t="shared" si="8"/>
        <v>105234</v>
      </c>
      <c r="K737" s="9">
        <f t="array" ref="K737">QUARTILE(IF($F$3:$F$1460=$F737,$H$3:$H$1460),1)</f>
        <v>2032</v>
      </c>
      <c r="L737" s="9">
        <f t="array" ref="L737">QUARTILE(IF($F$3:$F$1460=$F737,$H$3:$H$1460),2)</f>
        <v>19360</v>
      </c>
      <c r="M737" s="9">
        <f t="array" ref="M737">QUARTILE(IF($F$3:$F$1460=$F737,$H$3:$H$1460),3)</f>
        <v>87628.37</v>
      </c>
    </row>
    <row r="738" spans="1:13" x14ac:dyDescent="0.25">
      <c r="A738" s="7">
        <v>738</v>
      </c>
      <c r="B738" s="6" t="s">
        <v>662</v>
      </c>
      <c r="C738" s="7">
        <v>4274843</v>
      </c>
      <c r="D738" s="23" t="s">
        <v>663</v>
      </c>
      <c r="E738" s="6" t="s">
        <v>664</v>
      </c>
      <c r="F738" s="21" t="s">
        <v>17</v>
      </c>
      <c r="G738" s="6" t="s">
        <v>677</v>
      </c>
      <c r="H738" s="22">
        <v>5990</v>
      </c>
      <c r="I738" s="9">
        <v>8</v>
      </c>
      <c r="J738" s="22">
        <f t="shared" si="8"/>
        <v>47920</v>
      </c>
      <c r="K738" s="9">
        <f t="array" ref="K738">QUARTILE(IF($F$3:$F$1460=$F738,$H$3:$H$1460),1)</f>
        <v>17.549999999999997</v>
      </c>
      <c r="L738" s="9">
        <f t="array" ref="L738">QUARTILE(IF($F$3:$F$1460=$F738,$H$3:$H$1460),2)</f>
        <v>275.8</v>
      </c>
      <c r="M738" s="9">
        <f t="array" ref="M738">QUARTILE(IF($F$3:$F$1460=$F738,$H$3:$H$1460),3)</f>
        <v>11191.057499999999</v>
      </c>
    </row>
    <row r="739" spans="1:13" x14ac:dyDescent="0.25">
      <c r="A739" s="7">
        <v>739</v>
      </c>
      <c r="B739" s="6" t="s">
        <v>662</v>
      </c>
      <c r="C739" s="7">
        <v>4274843</v>
      </c>
      <c r="D739" s="23" t="s">
        <v>663</v>
      </c>
      <c r="E739" s="6" t="s">
        <v>664</v>
      </c>
      <c r="F739" s="21" t="s">
        <v>17</v>
      </c>
      <c r="G739" s="6" t="s">
        <v>678</v>
      </c>
      <c r="H739" s="22">
        <v>11600</v>
      </c>
      <c r="I739" s="9">
        <v>2</v>
      </c>
      <c r="J739" s="22">
        <f t="shared" si="8"/>
        <v>23200</v>
      </c>
      <c r="K739" s="9">
        <f t="array" ref="K739">QUARTILE(IF($F$3:$F$1460=$F739,$H$3:$H$1460),1)</f>
        <v>17.549999999999997</v>
      </c>
      <c r="L739" s="9">
        <f t="array" ref="L739">QUARTILE(IF($F$3:$F$1460=$F739,$H$3:$H$1460),2)</f>
        <v>275.8</v>
      </c>
      <c r="M739" s="9">
        <f t="array" ref="M739">QUARTILE(IF($F$3:$F$1460=$F739,$H$3:$H$1460),3)</f>
        <v>11191.057499999999</v>
      </c>
    </row>
    <row r="740" spans="1:13" x14ac:dyDescent="0.25">
      <c r="A740" s="7">
        <v>740</v>
      </c>
      <c r="B740" s="6" t="s">
        <v>662</v>
      </c>
      <c r="C740" s="7">
        <v>4274843</v>
      </c>
      <c r="D740" s="23" t="s">
        <v>663</v>
      </c>
      <c r="E740" s="6" t="s">
        <v>664</v>
      </c>
      <c r="F740" s="21" t="s">
        <v>68</v>
      </c>
      <c r="G740" s="45" t="s">
        <v>679</v>
      </c>
      <c r="H740" s="22">
        <v>143000</v>
      </c>
      <c r="I740" s="9">
        <v>4</v>
      </c>
      <c r="J740" s="22">
        <f t="shared" si="8"/>
        <v>572000</v>
      </c>
      <c r="K740" s="9">
        <f t="array" ref="K740">QUARTILE(IF($F$3:$F$1460=$F740,$H$3:$H$1460),1)</f>
        <v>2032</v>
      </c>
      <c r="L740" s="9">
        <f t="array" ref="L740">QUARTILE(IF($F$3:$F$1460=$F740,$H$3:$H$1460),2)</f>
        <v>19360</v>
      </c>
      <c r="M740" s="9">
        <f t="array" ref="M740">QUARTILE(IF($F$3:$F$1460=$F740,$H$3:$H$1460),3)</f>
        <v>87628.37</v>
      </c>
    </row>
    <row r="741" spans="1:13" x14ac:dyDescent="0.25">
      <c r="A741" s="7">
        <v>741</v>
      </c>
      <c r="B741" s="6" t="s">
        <v>662</v>
      </c>
      <c r="C741" s="7">
        <v>4274843</v>
      </c>
      <c r="D741" s="23" t="s">
        <v>663</v>
      </c>
      <c r="E741" s="6" t="s">
        <v>664</v>
      </c>
      <c r="F741" s="21" t="s">
        <v>17</v>
      </c>
      <c r="G741" s="6" t="s">
        <v>680</v>
      </c>
      <c r="H741" s="22">
        <v>33400</v>
      </c>
      <c r="I741" s="9">
        <v>4</v>
      </c>
      <c r="J741" s="22">
        <f t="shared" si="8"/>
        <v>133600</v>
      </c>
      <c r="K741" s="9">
        <f t="array" ref="K741">QUARTILE(IF($F$3:$F$1460=$F741,$H$3:$H$1460),1)</f>
        <v>17.549999999999997</v>
      </c>
      <c r="L741" s="9">
        <f t="array" ref="L741">QUARTILE(IF($F$3:$F$1460=$F741,$H$3:$H$1460),2)</f>
        <v>275.8</v>
      </c>
      <c r="M741" s="9">
        <f t="array" ref="M741">QUARTILE(IF($F$3:$F$1460=$F741,$H$3:$H$1460),3)</f>
        <v>11191.057499999999</v>
      </c>
    </row>
    <row r="742" spans="1:13" x14ac:dyDescent="0.25">
      <c r="A742" s="7">
        <v>742</v>
      </c>
      <c r="B742" s="6" t="s">
        <v>662</v>
      </c>
      <c r="C742" s="7">
        <v>4274843</v>
      </c>
      <c r="D742" s="23" t="s">
        <v>663</v>
      </c>
      <c r="E742" s="6" t="s">
        <v>664</v>
      </c>
      <c r="F742" s="21" t="s">
        <v>17</v>
      </c>
      <c r="G742" s="6" t="s">
        <v>681</v>
      </c>
      <c r="H742" s="22">
        <v>27800</v>
      </c>
      <c r="I742" s="9">
        <v>4</v>
      </c>
      <c r="J742" s="22">
        <f t="shared" si="8"/>
        <v>111200</v>
      </c>
      <c r="K742" s="9">
        <f t="array" ref="K742">QUARTILE(IF($F$3:$F$1460=$F742,$H$3:$H$1460),1)</f>
        <v>17.549999999999997</v>
      </c>
      <c r="L742" s="9">
        <f t="array" ref="L742">QUARTILE(IF($F$3:$F$1460=$F742,$H$3:$H$1460),2)</f>
        <v>275.8</v>
      </c>
      <c r="M742" s="9">
        <f t="array" ref="M742">QUARTILE(IF($F$3:$F$1460=$F742,$H$3:$H$1460),3)</f>
        <v>11191.057499999999</v>
      </c>
    </row>
    <row r="743" spans="1:13" x14ac:dyDescent="0.25">
      <c r="A743" s="7">
        <v>743</v>
      </c>
      <c r="B743" s="6" t="s">
        <v>662</v>
      </c>
      <c r="C743" s="7">
        <v>4274843</v>
      </c>
      <c r="D743" s="23" t="s">
        <v>663</v>
      </c>
      <c r="E743" s="6" t="s">
        <v>664</v>
      </c>
      <c r="F743" s="21" t="s">
        <v>76</v>
      </c>
      <c r="G743" s="6" t="s">
        <v>682</v>
      </c>
      <c r="H743" s="22">
        <v>21275.86</v>
      </c>
      <c r="I743" s="9">
        <v>1</v>
      </c>
      <c r="J743" s="22">
        <f t="shared" si="8"/>
        <v>21275.86</v>
      </c>
      <c r="K743" s="9">
        <f t="array" ref="K743">QUARTILE(IF($F$3:$F$1460=$F743,$H$3:$H$1460),1)</f>
        <v>11441.9125</v>
      </c>
      <c r="L743" s="9">
        <f t="array" ref="L743">QUARTILE(IF($F$3:$F$1460=$F743,$H$3:$H$1460),2)</f>
        <v>24241.455000000002</v>
      </c>
      <c r="M743" s="9">
        <f t="array" ref="M743">QUARTILE(IF($F$3:$F$1460=$F743,$H$3:$H$1460),3)</f>
        <v>41877.177500000005</v>
      </c>
    </row>
    <row r="744" spans="1:13" x14ac:dyDescent="0.25">
      <c r="A744" s="7">
        <v>744</v>
      </c>
      <c r="B744" s="6" t="s">
        <v>662</v>
      </c>
      <c r="C744" s="7">
        <v>4274843</v>
      </c>
      <c r="D744" s="23" t="s">
        <v>663</v>
      </c>
      <c r="E744" s="6" t="s">
        <v>664</v>
      </c>
      <c r="F744" s="21" t="s">
        <v>17</v>
      </c>
      <c r="G744" s="6" t="s">
        <v>683</v>
      </c>
      <c r="H744" s="22">
        <v>9964.23</v>
      </c>
      <c r="I744" s="9">
        <v>1</v>
      </c>
      <c r="J744" s="22">
        <f t="shared" si="8"/>
        <v>9964.23</v>
      </c>
      <c r="K744" s="9">
        <f t="array" ref="K744">QUARTILE(IF($F$3:$F$1460=$F744,$H$3:$H$1460),1)</f>
        <v>17.549999999999997</v>
      </c>
      <c r="L744" s="9">
        <f t="array" ref="L744">QUARTILE(IF($F$3:$F$1460=$F744,$H$3:$H$1460),2)</f>
        <v>275.8</v>
      </c>
      <c r="M744" s="9">
        <f t="array" ref="M744">QUARTILE(IF($F$3:$F$1460=$F744,$H$3:$H$1460),3)</f>
        <v>11191.057499999999</v>
      </c>
    </row>
    <row r="745" spans="1:13" x14ac:dyDescent="0.25">
      <c r="A745" s="7">
        <v>745</v>
      </c>
      <c r="B745" s="6" t="s">
        <v>662</v>
      </c>
      <c r="C745" s="7">
        <v>4274843</v>
      </c>
      <c r="D745" s="23" t="s">
        <v>663</v>
      </c>
      <c r="E745" s="6" t="s">
        <v>664</v>
      </c>
      <c r="F745" s="21" t="s">
        <v>39</v>
      </c>
      <c r="G745" s="45" t="s">
        <v>684</v>
      </c>
      <c r="H745" s="22">
        <v>1500</v>
      </c>
      <c r="I745" s="9">
        <v>2</v>
      </c>
      <c r="J745" s="22">
        <f t="shared" si="8"/>
        <v>3000</v>
      </c>
      <c r="K745" s="9">
        <f t="array" ref="K745">QUARTILE(IF($F$3:$F$1460=$F745,$H$3:$H$1460),1)</f>
        <v>98.7</v>
      </c>
      <c r="L745" s="9">
        <f t="array" ref="L745">QUARTILE(IF($F$3:$F$1460=$F745,$H$3:$H$1460),2)</f>
        <v>172.56</v>
      </c>
      <c r="M745" s="9">
        <f t="array" ref="M745">QUARTILE(IF($F$3:$F$1460=$F745,$H$3:$H$1460),3)</f>
        <v>2312.5</v>
      </c>
    </row>
    <row r="746" spans="1:13" x14ac:dyDescent="0.25">
      <c r="A746" s="7">
        <v>746</v>
      </c>
      <c r="B746" s="6" t="s">
        <v>662</v>
      </c>
      <c r="C746" s="7">
        <v>4274843</v>
      </c>
      <c r="D746" s="23" t="s">
        <v>663</v>
      </c>
      <c r="E746" s="6" t="s">
        <v>664</v>
      </c>
      <c r="F746" s="21" t="s">
        <v>60</v>
      </c>
      <c r="G746" s="45" t="s">
        <v>685</v>
      </c>
      <c r="H746" s="22">
        <v>765</v>
      </c>
      <c r="I746" s="9">
        <v>362</v>
      </c>
      <c r="J746" s="22">
        <f t="shared" si="8"/>
        <v>276930</v>
      </c>
      <c r="K746" s="9">
        <f t="array" ref="K746">QUARTILE(IF($F$3:$F$1460=$F746,$H$3:$H$1460),1)</f>
        <v>680</v>
      </c>
      <c r="L746" s="9">
        <f t="array" ref="L746">QUARTILE(IF($F$3:$F$1460=$F746,$H$3:$H$1460),2)</f>
        <v>991</v>
      </c>
      <c r="M746" s="9">
        <f t="array" ref="M746">QUARTILE(IF($F$3:$F$1460=$F746,$H$3:$H$1460),3)</f>
        <v>1485.8333333333335</v>
      </c>
    </row>
    <row r="747" spans="1:13" x14ac:dyDescent="0.25">
      <c r="A747" s="7">
        <v>747</v>
      </c>
      <c r="B747" s="6" t="s">
        <v>662</v>
      </c>
      <c r="C747" s="7">
        <v>4274843</v>
      </c>
      <c r="D747" s="23" t="s">
        <v>663</v>
      </c>
      <c r="E747" s="6" t="s">
        <v>664</v>
      </c>
      <c r="F747" s="21" t="s">
        <v>60</v>
      </c>
      <c r="G747" s="45" t="s">
        <v>686</v>
      </c>
      <c r="H747" s="22">
        <v>785</v>
      </c>
      <c r="I747" s="9">
        <v>64</v>
      </c>
      <c r="J747" s="22">
        <f t="shared" si="8"/>
        <v>50240</v>
      </c>
      <c r="K747" s="9">
        <f t="array" ref="K747">QUARTILE(IF($F$3:$F$1460=$F747,$H$3:$H$1460),1)</f>
        <v>680</v>
      </c>
      <c r="L747" s="9">
        <f t="array" ref="L747">QUARTILE(IF($F$3:$F$1460=$F747,$H$3:$H$1460),2)</f>
        <v>991</v>
      </c>
      <c r="M747" s="9">
        <f t="array" ref="M747">QUARTILE(IF($F$3:$F$1460=$F747,$H$3:$H$1460),3)</f>
        <v>1485.8333333333335</v>
      </c>
    </row>
    <row r="748" spans="1:13" x14ac:dyDescent="0.25">
      <c r="A748" s="7">
        <v>748</v>
      </c>
      <c r="B748" s="6" t="s">
        <v>662</v>
      </c>
      <c r="C748" s="7">
        <v>4274843</v>
      </c>
      <c r="D748" s="23" t="s">
        <v>663</v>
      </c>
      <c r="E748" s="6" t="s">
        <v>664</v>
      </c>
      <c r="F748" s="21" t="s">
        <v>60</v>
      </c>
      <c r="G748" s="45" t="s">
        <v>687</v>
      </c>
      <c r="H748" s="22">
        <v>1148</v>
      </c>
      <c r="I748" s="9">
        <v>10</v>
      </c>
      <c r="J748" s="22">
        <f t="shared" si="8"/>
        <v>11480</v>
      </c>
      <c r="K748" s="9">
        <f t="array" ref="K748">QUARTILE(IF($F$3:$F$1460=$F748,$H$3:$H$1460),1)</f>
        <v>680</v>
      </c>
      <c r="L748" s="9">
        <f t="array" ref="L748">QUARTILE(IF($F$3:$F$1460=$F748,$H$3:$H$1460),2)</f>
        <v>991</v>
      </c>
      <c r="M748" s="9">
        <f t="array" ref="M748">QUARTILE(IF($F$3:$F$1460=$F748,$H$3:$H$1460),3)</f>
        <v>1485.8333333333335</v>
      </c>
    </row>
    <row r="749" spans="1:13" x14ac:dyDescent="0.25">
      <c r="A749" s="7">
        <v>749</v>
      </c>
      <c r="B749" s="6" t="s">
        <v>662</v>
      </c>
      <c r="C749" s="7">
        <v>4274843</v>
      </c>
      <c r="D749" s="23" t="s">
        <v>663</v>
      </c>
      <c r="E749" s="6" t="s">
        <v>664</v>
      </c>
      <c r="F749" s="21" t="s">
        <v>60</v>
      </c>
      <c r="G749" s="45" t="s">
        <v>688</v>
      </c>
      <c r="H749" s="22">
        <v>970.6</v>
      </c>
      <c r="I749" s="9">
        <v>10</v>
      </c>
      <c r="J749" s="22">
        <f t="shared" si="8"/>
        <v>9706</v>
      </c>
      <c r="K749" s="9">
        <f t="array" ref="K749">QUARTILE(IF($F$3:$F$1460=$F749,$H$3:$H$1460),1)</f>
        <v>680</v>
      </c>
      <c r="L749" s="9">
        <f t="array" ref="L749">QUARTILE(IF($F$3:$F$1460=$F749,$H$3:$H$1460),2)</f>
        <v>991</v>
      </c>
      <c r="M749" s="9">
        <f t="array" ref="M749">QUARTILE(IF($F$3:$F$1460=$F749,$H$3:$H$1460),3)</f>
        <v>1485.8333333333335</v>
      </c>
    </row>
    <row r="750" spans="1:13" x14ac:dyDescent="0.25">
      <c r="A750" s="7">
        <v>750</v>
      </c>
      <c r="B750" s="6" t="s">
        <v>662</v>
      </c>
      <c r="C750" s="7">
        <v>4274843</v>
      </c>
      <c r="D750" s="23" t="s">
        <v>663</v>
      </c>
      <c r="E750" s="6" t="s">
        <v>664</v>
      </c>
      <c r="F750" s="21" t="s">
        <v>60</v>
      </c>
      <c r="G750" s="45" t="s">
        <v>689</v>
      </c>
      <c r="H750" s="22">
        <v>2806.6</v>
      </c>
      <c r="I750" s="9">
        <v>13</v>
      </c>
      <c r="J750" s="22">
        <f t="shared" si="8"/>
        <v>36485.799999999996</v>
      </c>
      <c r="K750" s="9">
        <f t="array" ref="K750">QUARTILE(IF($F$3:$F$1460=$F750,$H$3:$H$1460),1)</f>
        <v>680</v>
      </c>
      <c r="L750" s="9">
        <f t="array" ref="L750">QUARTILE(IF($F$3:$F$1460=$F750,$H$3:$H$1460),2)</f>
        <v>991</v>
      </c>
      <c r="M750" s="9">
        <f t="array" ref="M750">QUARTILE(IF($F$3:$F$1460=$F750,$H$3:$H$1460),3)</f>
        <v>1485.8333333333335</v>
      </c>
    </row>
    <row r="751" spans="1:13" x14ac:dyDescent="0.25">
      <c r="A751" s="7">
        <v>751</v>
      </c>
      <c r="B751" s="6" t="s">
        <v>662</v>
      </c>
      <c r="C751" s="7">
        <v>4274843</v>
      </c>
      <c r="D751" s="23" t="s">
        <v>663</v>
      </c>
      <c r="E751" s="6" t="s">
        <v>664</v>
      </c>
      <c r="F751" s="21" t="s">
        <v>60</v>
      </c>
      <c r="G751" s="45" t="s">
        <v>690</v>
      </c>
      <c r="H751" s="22">
        <v>930</v>
      </c>
      <c r="I751" s="9">
        <v>13</v>
      </c>
      <c r="J751" s="22">
        <f t="shared" si="8"/>
        <v>12090</v>
      </c>
      <c r="K751" s="9">
        <f t="array" ref="K751">QUARTILE(IF($F$3:$F$1460=$F751,$H$3:$H$1460),1)</f>
        <v>680</v>
      </c>
      <c r="L751" s="9">
        <f t="array" ref="L751">QUARTILE(IF($F$3:$F$1460=$F751,$H$3:$H$1460),2)</f>
        <v>991</v>
      </c>
      <c r="M751" s="9">
        <f t="array" ref="M751">QUARTILE(IF($F$3:$F$1460=$F751,$H$3:$H$1460),3)</f>
        <v>1485.8333333333335</v>
      </c>
    </row>
    <row r="752" spans="1:13" x14ac:dyDescent="0.25">
      <c r="A752" s="7">
        <v>752</v>
      </c>
      <c r="B752" s="6" t="s">
        <v>662</v>
      </c>
      <c r="C752" s="7">
        <v>4274843</v>
      </c>
      <c r="D752" s="23" t="s">
        <v>663</v>
      </c>
      <c r="E752" s="6" t="s">
        <v>664</v>
      </c>
      <c r="F752" s="21" t="s">
        <v>62</v>
      </c>
      <c r="G752" s="30" t="s">
        <v>691</v>
      </c>
      <c r="H752" s="22">
        <v>1202.5999999999999</v>
      </c>
      <c r="I752" s="9">
        <v>153</v>
      </c>
      <c r="J752" s="22">
        <f t="shared" si="8"/>
        <v>183997.8</v>
      </c>
      <c r="K752" s="9">
        <f t="array" ref="K752">QUARTILE(IF($F$3:$F$1460=$F752,$H$3:$H$1460),1)</f>
        <v>783.15</v>
      </c>
      <c r="L752" s="9">
        <f t="array" ref="L752">QUARTILE(IF($F$3:$F$1460=$F752,$H$3:$H$1460),2)</f>
        <v>1196.3</v>
      </c>
      <c r="M752" s="9">
        <f t="array" ref="M752">QUARTILE(IF($F$3:$F$1460=$F752,$H$3:$H$1460),3)</f>
        <v>1455.5</v>
      </c>
    </row>
    <row r="753" spans="1:13" x14ac:dyDescent="0.25">
      <c r="A753" s="7">
        <v>753</v>
      </c>
      <c r="B753" s="6" t="s">
        <v>662</v>
      </c>
      <c r="C753" s="7">
        <v>4274843</v>
      </c>
      <c r="D753" s="23" t="s">
        <v>663</v>
      </c>
      <c r="E753" s="6" t="s">
        <v>664</v>
      </c>
      <c r="F753" s="21" t="s">
        <v>62</v>
      </c>
      <c r="G753" s="30" t="s">
        <v>692</v>
      </c>
      <c r="H753" s="22">
        <v>1082.68</v>
      </c>
      <c r="I753" s="9">
        <v>8</v>
      </c>
      <c r="J753" s="22">
        <f t="shared" si="8"/>
        <v>8661.44</v>
      </c>
      <c r="K753" s="9">
        <f t="array" ref="K753">QUARTILE(IF($F$3:$F$1460=$F753,$H$3:$H$1460),1)</f>
        <v>783.15</v>
      </c>
      <c r="L753" s="9">
        <f t="array" ref="L753">QUARTILE(IF($F$3:$F$1460=$F753,$H$3:$H$1460),2)</f>
        <v>1196.3</v>
      </c>
      <c r="M753" s="9">
        <f t="array" ref="M753">QUARTILE(IF($F$3:$F$1460=$F753,$H$3:$H$1460),3)</f>
        <v>1455.5</v>
      </c>
    </row>
    <row r="754" spans="1:13" x14ac:dyDescent="0.25">
      <c r="A754" s="7">
        <v>754</v>
      </c>
      <c r="B754" s="6" t="s">
        <v>662</v>
      </c>
      <c r="C754" s="7">
        <v>4274843</v>
      </c>
      <c r="D754" s="23" t="s">
        <v>663</v>
      </c>
      <c r="E754" s="6" t="s">
        <v>664</v>
      </c>
      <c r="F754" s="21" t="s">
        <v>62</v>
      </c>
      <c r="G754" s="30" t="s">
        <v>693</v>
      </c>
      <c r="H754" s="22">
        <v>1126.6600000000001</v>
      </c>
      <c r="I754" s="9">
        <v>8</v>
      </c>
      <c r="J754" s="22">
        <f t="shared" si="8"/>
        <v>9013.2800000000007</v>
      </c>
      <c r="K754" s="9">
        <f t="array" ref="K754">QUARTILE(IF($F$3:$F$1460=$F754,$H$3:$H$1460),1)</f>
        <v>783.15</v>
      </c>
      <c r="L754" s="9">
        <f t="array" ref="L754">QUARTILE(IF($F$3:$F$1460=$F754,$H$3:$H$1460),2)</f>
        <v>1196.3</v>
      </c>
      <c r="M754" s="9">
        <f t="array" ref="M754">QUARTILE(IF($F$3:$F$1460=$F754,$H$3:$H$1460),3)</f>
        <v>1455.5</v>
      </c>
    </row>
    <row r="755" spans="1:13" x14ac:dyDescent="0.25">
      <c r="A755" s="7">
        <v>755</v>
      </c>
      <c r="B755" s="6" t="s">
        <v>662</v>
      </c>
      <c r="C755" s="7">
        <v>4274843</v>
      </c>
      <c r="D755" s="23" t="s">
        <v>663</v>
      </c>
      <c r="E755" s="6" t="s">
        <v>664</v>
      </c>
      <c r="F755" s="21" t="s">
        <v>62</v>
      </c>
      <c r="G755" s="30" t="s">
        <v>694</v>
      </c>
      <c r="H755" s="22">
        <v>2350</v>
      </c>
      <c r="I755" s="9">
        <v>2</v>
      </c>
      <c r="J755" s="22">
        <f t="shared" si="8"/>
        <v>4700</v>
      </c>
      <c r="K755" s="9">
        <f t="array" ref="K755">QUARTILE(IF($F$3:$F$1460=$F755,$H$3:$H$1460),1)</f>
        <v>783.15</v>
      </c>
      <c r="L755" s="9">
        <f t="array" ref="L755">QUARTILE(IF($F$3:$F$1460=$F755,$H$3:$H$1460),2)</f>
        <v>1196.3</v>
      </c>
      <c r="M755" s="9">
        <f t="array" ref="M755">QUARTILE(IF($F$3:$F$1460=$F755,$H$3:$H$1460),3)</f>
        <v>1455.5</v>
      </c>
    </row>
    <row r="756" spans="1:13" x14ac:dyDescent="0.25">
      <c r="A756" s="7">
        <v>756</v>
      </c>
      <c r="B756" s="6" t="s">
        <v>662</v>
      </c>
      <c r="C756" s="7">
        <v>4274843</v>
      </c>
      <c r="D756" s="23" t="s">
        <v>663</v>
      </c>
      <c r="E756" s="6" t="s">
        <v>664</v>
      </c>
      <c r="F756" s="21" t="s">
        <v>44</v>
      </c>
      <c r="G756" s="45" t="s">
        <v>695</v>
      </c>
      <c r="H756" s="22">
        <v>220</v>
      </c>
      <c r="I756" s="9">
        <v>123</v>
      </c>
      <c r="J756" s="22">
        <f t="shared" si="8"/>
        <v>27060</v>
      </c>
      <c r="K756" s="9">
        <f t="array" ref="K756">QUARTILE(IF($F$3:$F$1460=$F756,$H$3:$H$1460),1)</f>
        <v>141.67500000000001</v>
      </c>
      <c r="L756" s="9">
        <f t="array" ref="L756">QUARTILE(IF($F$3:$F$1460=$F756,$H$3:$H$1460),2)</f>
        <v>194</v>
      </c>
      <c r="M756" s="9">
        <f t="array" ref="M756">QUARTILE(IF($F$3:$F$1460=$F756,$H$3:$H$1460),3)</f>
        <v>266.75</v>
      </c>
    </row>
    <row r="757" spans="1:13" x14ac:dyDescent="0.25">
      <c r="A757" s="7">
        <v>757</v>
      </c>
      <c r="B757" s="6" t="s">
        <v>662</v>
      </c>
      <c r="C757" s="7">
        <v>4274843</v>
      </c>
      <c r="D757" s="23" t="s">
        <v>663</v>
      </c>
      <c r="E757" s="6" t="s">
        <v>664</v>
      </c>
      <c r="F757" s="21" t="s">
        <v>44</v>
      </c>
      <c r="G757" s="45" t="s">
        <v>696</v>
      </c>
      <c r="H757" s="22">
        <v>745</v>
      </c>
      <c r="I757" s="9">
        <v>58</v>
      </c>
      <c r="J757" s="22">
        <f t="shared" si="8"/>
        <v>43210</v>
      </c>
      <c r="K757" s="9">
        <f t="array" ref="K757">QUARTILE(IF($F$3:$F$1460=$F757,$H$3:$H$1460),1)</f>
        <v>141.67500000000001</v>
      </c>
      <c r="L757" s="9">
        <f t="array" ref="L757">QUARTILE(IF($F$3:$F$1460=$F757,$H$3:$H$1460),2)</f>
        <v>194</v>
      </c>
      <c r="M757" s="9">
        <f t="array" ref="M757">QUARTILE(IF($F$3:$F$1460=$F757,$H$3:$H$1460),3)</f>
        <v>266.75</v>
      </c>
    </row>
    <row r="758" spans="1:13" x14ac:dyDescent="0.25">
      <c r="A758" s="7">
        <v>758</v>
      </c>
      <c r="B758" s="6" t="s">
        <v>662</v>
      </c>
      <c r="C758" s="7">
        <v>4274843</v>
      </c>
      <c r="D758" s="23" t="s">
        <v>663</v>
      </c>
      <c r="E758" s="6" t="s">
        <v>664</v>
      </c>
      <c r="F758" s="21" t="s">
        <v>44</v>
      </c>
      <c r="G758" s="45" t="s">
        <v>697</v>
      </c>
      <c r="H758" s="22">
        <v>390</v>
      </c>
      <c r="I758" s="9">
        <v>100</v>
      </c>
      <c r="J758" s="22">
        <f t="shared" si="8"/>
        <v>39000</v>
      </c>
      <c r="K758" s="9">
        <f t="array" ref="K758">QUARTILE(IF($F$3:$F$1460=$F758,$H$3:$H$1460),1)</f>
        <v>141.67500000000001</v>
      </c>
      <c r="L758" s="9">
        <f t="array" ref="L758">QUARTILE(IF($F$3:$F$1460=$F758,$H$3:$H$1460),2)</f>
        <v>194</v>
      </c>
      <c r="M758" s="9">
        <f t="array" ref="M758">QUARTILE(IF($F$3:$F$1460=$F758,$H$3:$H$1460),3)</f>
        <v>266.75</v>
      </c>
    </row>
    <row r="759" spans="1:13" x14ac:dyDescent="0.25">
      <c r="A759" s="7">
        <v>759</v>
      </c>
      <c r="B759" s="6" t="s">
        <v>662</v>
      </c>
      <c r="C759" s="7">
        <v>4274843</v>
      </c>
      <c r="D759" s="23" t="s">
        <v>663</v>
      </c>
      <c r="E759" s="6" t="s">
        <v>664</v>
      </c>
      <c r="F759" s="21" t="s">
        <v>44</v>
      </c>
      <c r="G759" s="45" t="s">
        <v>698</v>
      </c>
      <c r="H759" s="22">
        <v>160</v>
      </c>
      <c r="I759" s="9">
        <v>10</v>
      </c>
      <c r="J759" s="22">
        <f t="shared" si="8"/>
        <v>1600</v>
      </c>
      <c r="K759" s="9">
        <f t="array" ref="K759">QUARTILE(IF($F$3:$F$1460=$F759,$H$3:$H$1460),1)</f>
        <v>141.67500000000001</v>
      </c>
      <c r="L759" s="9">
        <f t="array" ref="L759">QUARTILE(IF($F$3:$F$1460=$F759,$H$3:$H$1460),2)</f>
        <v>194</v>
      </c>
      <c r="M759" s="9">
        <f t="array" ref="M759">QUARTILE(IF($F$3:$F$1460=$F759,$H$3:$H$1460),3)</f>
        <v>266.75</v>
      </c>
    </row>
    <row r="760" spans="1:13" x14ac:dyDescent="0.25">
      <c r="A760" s="7">
        <v>760</v>
      </c>
      <c r="B760" s="6" t="s">
        <v>662</v>
      </c>
      <c r="C760" s="7">
        <v>4274843</v>
      </c>
      <c r="D760" s="23" t="s">
        <v>663</v>
      </c>
      <c r="E760" s="6" t="s">
        <v>664</v>
      </c>
      <c r="F760" s="21" t="s">
        <v>44</v>
      </c>
      <c r="G760" s="45" t="s">
        <v>699</v>
      </c>
      <c r="H760" s="22">
        <v>115</v>
      </c>
      <c r="I760" s="9">
        <v>40</v>
      </c>
      <c r="J760" s="22">
        <f t="shared" si="8"/>
        <v>4600</v>
      </c>
      <c r="K760" s="9">
        <f t="array" ref="K760">QUARTILE(IF($F$3:$F$1460=$F760,$H$3:$H$1460),1)</f>
        <v>141.67500000000001</v>
      </c>
      <c r="L760" s="9">
        <f t="array" ref="L760">QUARTILE(IF($F$3:$F$1460=$F760,$H$3:$H$1460),2)</f>
        <v>194</v>
      </c>
      <c r="M760" s="9">
        <f t="array" ref="M760">QUARTILE(IF($F$3:$F$1460=$F760,$H$3:$H$1460),3)</f>
        <v>266.75</v>
      </c>
    </row>
    <row r="761" spans="1:13" x14ac:dyDescent="0.25">
      <c r="A761" s="7">
        <v>761</v>
      </c>
      <c r="B761" s="6" t="s">
        <v>662</v>
      </c>
      <c r="C761" s="7">
        <v>4274843</v>
      </c>
      <c r="D761" s="23" t="s">
        <v>663</v>
      </c>
      <c r="E761" s="6" t="s">
        <v>664</v>
      </c>
      <c r="F761" s="21" t="s">
        <v>44</v>
      </c>
      <c r="G761" s="45" t="s">
        <v>700</v>
      </c>
      <c r="H761" s="22">
        <v>136</v>
      </c>
      <c r="I761" s="9">
        <v>26</v>
      </c>
      <c r="J761" s="22">
        <f t="shared" si="8"/>
        <v>3536</v>
      </c>
      <c r="K761" s="9">
        <f t="array" ref="K761">QUARTILE(IF($F$3:$F$1460=$F761,$H$3:$H$1460),1)</f>
        <v>141.67500000000001</v>
      </c>
      <c r="L761" s="9">
        <f t="array" ref="L761">QUARTILE(IF($F$3:$F$1460=$F761,$H$3:$H$1460),2)</f>
        <v>194</v>
      </c>
      <c r="M761" s="9">
        <f t="array" ref="M761">QUARTILE(IF($F$3:$F$1460=$F761,$H$3:$H$1460),3)</f>
        <v>266.75</v>
      </c>
    </row>
    <row r="762" spans="1:13" x14ac:dyDescent="0.25">
      <c r="A762" s="7">
        <v>762</v>
      </c>
      <c r="B762" s="6" t="s">
        <v>662</v>
      </c>
      <c r="C762" s="7">
        <v>4274843</v>
      </c>
      <c r="D762" s="23" t="s">
        <v>663</v>
      </c>
      <c r="E762" s="6" t="s">
        <v>664</v>
      </c>
      <c r="F762" s="21" t="s">
        <v>44</v>
      </c>
      <c r="G762" s="45" t="s">
        <v>701</v>
      </c>
      <c r="H762" s="22">
        <v>275</v>
      </c>
      <c r="I762" s="9">
        <v>18</v>
      </c>
      <c r="J762" s="22">
        <f t="shared" si="8"/>
        <v>4950</v>
      </c>
      <c r="K762" s="9">
        <f t="array" ref="K762">QUARTILE(IF($F$3:$F$1460=$F762,$H$3:$H$1460),1)</f>
        <v>141.67500000000001</v>
      </c>
      <c r="L762" s="9">
        <f t="array" ref="L762">QUARTILE(IF($F$3:$F$1460=$F762,$H$3:$H$1460),2)</f>
        <v>194</v>
      </c>
      <c r="M762" s="9">
        <f t="array" ref="M762">QUARTILE(IF($F$3:$F$1460=$F762,$H$3:$H$1460),3)</f>
        <v>266.75</v>
      </c>
    </row>
    <row r="763" spans="1:13" x14ac:dyDescent="0.25">
      <c r="A763" s="7">
        <v>763</v>
      </c>
      <c r="B763" s="6" t="s">
        <v>662</v>
      </c>
      <c r="C763" s="7">
        <v>4274843</v>
      </c>
      <c r="D763" s="23" t="s">
        <v>663</v>
      </c>
      <c r="E763" s="6" t="s">
        <v>664</v>
      </c>
      <c r="F763" s="21" t="s">
        <v>44</v>
      </c>
      <c r="G763" s="45" t="s">
        <v>702</v>
      </c>
      <c r="H763" s="22">
        <v>190</v>
      </c>
      <c r="I763" s="9">
        <v>5</v>
      </c>
      <c r="J763" s="22">
        <f t="shared" si="8"/>
        <v>950</v>
      </c>
      <c r="K763" s="9">
        <f t="array" ref="K763">QUARTILE(IF($F$3:$F$1460=$F763,$H$3:$H$1460),1)</f>
        <v>141.67500000000001</v>
      </c>
      <c r="L763" s="9">
        <f t="array" ref="L763">QUARTILE(IF($F$3:$F$1460=$F763,$H$3:$H$1460),2)</f>
        <v>194</v>
      </c>
      <c r="M763" s="9">
        <f t="array" ref="M763">QUARTILE(IF($F$3:$F$1460=$F763,$H$3:$H$1460),3)</f>
        <v>266.75</v>
      </c>
    </row>
    <row r="764" spans="1:13" x14ac:dyDescent="0.25">
      <c r="A764" s="7">
        <v>764</v>
      </c>
      <c r="B764" s="6" t="s">
        <v>662</v>
      </c>
      <c r="C764" s="7">
        <v>4274843</v>
      </c>
      <c r="D764" s="23" t="s">
        <v>663</v>
      </c>
      <c r="E764" s="6" t="s">
        <v>664</v>
      </c>
      <c r="F764" s="21" t="s">
        <v>44</v>
      </c>
      <c r="G764" s="45" t="s">
        <v>703</v>
      </c>
      <c r="H764" s="22">
        <v>200</v>
      </c>
      <c r="I764" s="9">
        <v>2</v>
      </c>
      <c r="J764" s="22">
        <f t="shared" si="8"/>
        <v>400</v>
      </c>
      <c r="K764" s="9">
        <f t="array" ref="K764">QUARTILE(IF($F$3:$F$1460=$F764,$H$3:$H$1460),1)</f>
        <v>141.67500000000001</v>
      </c>
      <c r="L764" s="9">
        <f t="array" ref="L764">QUARTILE(IF($F$3:$F$1460=$F764,$H$3:$H$1460),2)</f>
        <v>194</v>
      </c>
      <c r="M764" s="9">
        <f t="array" ref="M764">QUARTILE(IF($F$3:$F$1460=$F764,$H$3:$H$1460),3)</f>
        <v>266.75</v>
      </c>
    </row>
    <row r="765" spans="1:13" x14ac:dyDescent="0.25">
      <c r="A765" s="7">
        <v>765</v>
      </c>
      <c r="B765" s="6" t="s">
        <v>662</v>
      </c>
      <c r="C765" s="7">
        <v>4274843</v>
      </c>
      <c r="D765" s="23" t="s">
        <v>663</v>
      </c>
      <c r="E765" s="6" t="s">
        <v>664</v>
      </c>
      <c r="F765" s="21" t="s">
        <v>44</v>
      </c>
      <c r="G765" s="45" t="s">
        <v>704</v>
      </c>
      <c r="H765" s="22">
        <v>240</v>
      </c>
      <c r="I765" s="9">
        <v>2</v>
      </c>
      <c r="J765" s="22">
        <f t="shared" si="8"/>
        <v>480</v>
      </c>
      <c r="K765" s="9">
        <f t="array" ref="K765">QUARTILE(IF($F$3:$F$1460=$F765,$H$3:$H$1460),1)</f>
        <v>141.67500000000001</v>
      </c>
      <c r="L765" s="9">
        <f t="array" ref="L765">QUARTILE(IF($F$3:$F$1460=$F765,$H$3:$H$1460),2)</f>
        <v>194</v>
      </c>
      <c r="M765" s="9">
        <f t="array" ref="M765">QUARTILE(IF($F$3:$F$1460=$F765,$H$3:$H$1460),3)</f>
        <v>266.75</v>
      </c>
    </row>
    <row r="766" spans="1:13" x14ac:dyDescent="0.25">
      <c r="A766" s="7">
        <v>766</v>
      </c>
      <c r="B766" s="6" t="s">
        <v>662</v>
      </c>
      <c r="C766" s="7">
        <v>4274843</v>
      </c>
      <c r="D766" s="23" t="s">
        <v>663</v>
      </c>
      <c r="E766" s="6" t="s">
        <v>664</v>
      </c>
      <c r="F766" s="21" t="s">
        <v>61</v>
      </c>
      <c r="G766" s="45" t="s">
        <v>705</v>
      </c>
      <c r="H766" s="22">
        <v>725</v>
      </c>
      <c r="I766" s="9">
        <v>6</v>
      </c>
      <c r="J766" s="22">
        <f t="shared" si="8"/>
        <v>4350</v>
      </c>
      <c r="K766" s="9">
        <f t="array" ref="K766">QUARTILE(IF($F$3:$F$1460=$F766,$H$3:$H$1460),1)</f>
        <v>709.95</v>
      </c>
      <c r="L766" s="9">
        <f t="array" ref="L766">QUARTILE(IF($F$3:$F$1460=$F766,$H$3:$H$1460),2)</f>
        <v>1000</v>
      </c>
      <c r="M766" s="9">
        <f t="array" ref="M766">QUARTILE(IF($F$3:$F$1460=$F766,$H$3:$H$1460),3)</f>
        <v>5171.4583333333339</v>
      </c>
    </row>
    <row r="767" spans="1:13" x14ac:dyDescent="0.25">
      <c r="A767" s="7">
        <v>767</v>
      </c>
      <c r="B767" s="6" t="s">
        <v>662</v>
      </c>
      <c r="C767" s="7">
        <v>4274843</v>
      </c>
      <c r="D767" s="23" t="s">
        <v>663</v>
      </c>
      <c r="E767" s="6" t="s">
        <v>664</v>
      </c>
      <c r="F767" s="21" t="s">
        <v>46</v>
      </c>
      <c r="G767" s="45" t="s">
        <v>706</v>
      </c>
      <c r="H767" s="22">
        <v>375</v>
      </c>
      <c r="I767" s="9">
        <v>75</v>
      </c>
      <c r="J767" s="22">
        <f t="shared" si="8"/>
        <v>28125</v>
      </c>
      <c r="K767" s="9">
        <f t="array" ref="K767">QUARTILE(IF($F$3:$F$1460=$F767,$H$3:$H$1460),1)</f>
        <v>229.78</v>
      </c>
      <c r="L767" s="9">
        <f t="array" ref="L767">QUARTILE(IF($F$3:$F$1460=$F767,$H$3:$H$1460),2)</f>
        <v>424.2</v>
      </c>
      <c r="M767" s="9">
        <f t="array" ref="M767">QUARTILE(IF($F$3:$F$1460=$F767,$H$3:$H$1460),3)</f>
        <v>1030.3</v>
      </c>
    </row>
    <row r="768" spans="1:13" x14ac:dyDescent="0.25">
      <c r="A768" s="7">
        <v>768</v>
      </c>
      <c r="B768" s="6" t="s">
        <v>662</v>
      </c>
      <c r="C768" s="7">
        <v>4274843</v>
      </c>
      <c r="D768" s="23" t="s">
        <v>663</v>
      </c>
      <c r="E768" s="6" t="s">
        <v>664</v>
      </c>
      <c r="F768" s="21" t="s">
        <v>46</v>
      </c>
      <c r="G768" s="45" t="s">
        <v>707</v>
      </c>
      <c r="H768" s="22">
        <v>314</v>
      </c>
      <c r="I768" s="9">
        <v>9</v>
      </c>
      <c r="J768" s="22">
        <f t="shared" si="8"/>
        <v>2826</v>
      </c>
      <c r="K768" s="9">
        <f t="array" ref="K768">QUARTILE(IF($F$3:$F$1460=$F768,$H$3:$H$1460),1)</f>
        <v>229.78</v>
      </c>
      <c r="L768" s="9">
        <f t="array" ref="L768">QUARTILE(IF($F$3:$F$1460=$F768,$H$3:$H$1460),2)</f>
        <v>424.2</v>
      </c>
      <c r="M768" s="9">
        <f t="array" ref="M768">QUARTILE(IF($F$3:$F$1460=$F768,$H$3:$H$1460),3)</f>
        <v>1030.3</v>
      </c>
    </row>
    <row r="769" spans="1:13" ht="16.5" customHeight="1" x14ac:dyDescent="0.25">
      <c r="A769" s="7">
        <v>769</v>
      </c>
      <c r="B769" s="6" t="s">
        <v>662</v>
      </c>
      <c r="C769" s="7">
        <v>4274843</v>
      </c>
      <c r="D769" s="23" t="s">
        <v>663</v>
      </c>
      <c r="E769" s="6" t="s">
        <v>664</v>
      </c>
      <c r="F769" s="21" t="s">
        <v>46</v>
      </c>
      <c r="G769" s="45" t="s">
        <v>708</v>
      </c>
      <c r="H769" s="22">
        <v>2783</v>
      </c>
      <c r="I769" s="9">
        <v>8</v>
      </c>
      <c r="J769" s="22">
        <f t="shared" si="8"/>
        <v>22264</v>
      </c>
      <c r="K769" s="9">
        <f t="array" ref="K769">QUARTILE(IF($F$3:$F$1460=$F769,$H$3:$H$1460),1)</f>
        <v>229.78</v>
      </c>
      <c r="L769" s="9">
        <f t="array" ref="L769">QUARTILE(IF($F$3:$F$1460=$F769,$H$3:$H$1460),2)</f>
        <v>424.2</v>
      </c>
      <c r="M769" s="9">
        <f t="array" ref="M769">QUARTILE(IF($F$3:$F$1460=$F769,$H$3:$H$1460),3)</f>
        <v>1030.3</v>
      </c>
    </row>
    <row r="770" spans="1:13" x14ac:dyDescent="0.25">
      <c r="A770" s="7">
        <v>770</v>
      </c>
      <c r="B770" s="6" t="s">
        <v>662</v>
      </c>
      <c r="C770" s="7">
        <v>4274843</v>
      </c>
      <c r="D770" s="23" t="s">
        <v>663</v>
      </c>
      <c r="E770" s="6" t="s">
        <v>664</v>
      </c>
      <c r="F770" s="21" t="s">
        <v>54</v>
      </c>
      <c r="G770" s="45" t="s">
        <v>709</v>
      </c>
      <c r="H770" s="22">
        <v>350</v>
      </c>
      <c r="I770" s="9">
        <v>16</v>
      </c>
      <c r="J770" s="22">
        <f t="shared" si="8"/>
        <v>5600</v>
      </c>
      <c r="K770" s="9">
        <f t="array" ref="K770">QUARTILE(IF($F$3:$F$1460=$F770,$H$3:$H$1460),1)</f>
        <v>393.94499999999999</v>
      </c>
      <c r="L770" s="9">
        <f t="array" ref="L770">QUARTILE(IF($F$3:$F$1460=$F770,$H$3:$H$1460),2)</f>
        <v>710.01499999999999</v>
      </c>
      <c r="M770" s="9">
        <f t="array" ref="M770">QUARTILE(IF($F$3:$F$1460=$F770,$H$3:$H$1460),3)</f>
        <v>2552.0574999999999</v>
      </c>
    </row>
    <row r="771" spans="1:13" x14ac:dyDescent="0.25">
      <c r="A771" s="7">
        <v>771</v>
      </c>
      <c r="B771" s="6" t="s">
        <v>662</v>
      </c>
      <c r="C771" s="7">
        <v>4274843</v>
      </c>
      <c r="D771" s="23" t="s">
        <v>663</v>
      </c>
      <c r="E771" s="6" t="s">
        <v>664</v>
      </c>
      <c r="F771" s="21" t="s">
        <v>54</v>
      </c>
      <c r="G771" s="45" t="s">
        <v>710</v>
      </c>
      <c r="H771" s="22">
        <v>434</v>
      </c>
      <c r="I771" s="9">
        <v>16</v>
      </c>
      <c r="J771" s="22">
        <f t="shared" si="8"/>
        <v>6944</v>
      </c>
      <c r="K771" s="9">
        <f t="array" ref="K771">QUARTILE(IF($F$3:$F$1460=$F771,$H$3:$H$1460),1)</f>
        <v>393.94499999999999</v>
      </c>
      <c r="L771" s="9">
        <f t="array" ref="L771">QUARTILE(IF($F$3:$F$1460=$F771,$H$3:$H$1460),2)</f>
        <v>710.01499999999999</v>
      </c>
      <c r="M771" s="9">
        <f t="array" ref="M771">QUARTILE(IF($F$3:$F$1460=$F771,$H$3:$H$1460),3)</f>
        <v>2552.0574999999999</v>
      </c>
    </row>
    <row r="772" spans="1:13" x14ac:dyDescent="0.25">
      <c r="A772" s="7">
        <v>772</v>
      </c>
      <c r="B772" s="6" t="s">
        <v>662</v>
      </c>
      <c r="C772" s="7">
        <v>4274843</v>
      </c>
      <c r="D772" s="23" t="s">
        <v>663</v>
      </c>
      <c r="E772" s="6" t="s">
        <v>664</v>
      </c>
      <c r="F772" s="21" t="s">
        <v>54</v>
      </c>
      <c r="G772" s="45" t="s">
        <v>711</v>
      </c>
      <c r="H772" s="22">
        <v>10134</v>
      </c>
      <c r="I772" s="9">
        <v>4</v>
      </c>
      <c r="J772" s="22">
        <f t="shared" si="8"/>
        <v>40536</v>
      </c>
      <c r="K772" s="9">
        <f t="array" ref="K772">QUARTILE(IF($F$3:$F$1460=$F772,$H$3:$H$1460),1)</f>
        <v>393.94499999999999</v>
      </c>
      <c r="L772" s="9">
        <f t="array" ref="L772">QUARTILE(IF($F$3:$F$1460=$F772,$H$3:$H$1460),2)</f>
        <v>710.01499999999999</v>
      </c>
      <c r="M772" s="9">
        <f t="array" ref="M772">QUARTILE(IF($F$3:$F$1460=$F772,$H$3:$H$1460),3)</f>
        <v>2552.0574999999999</v>
      </c>
    </row>
    <row r="773" spans="1:13" x14ac:dyDescent="0.25">
      <c r="A773" s="7">
        <v>773</v>
      </c>
      <c r="B773" s="6" t="s">
        <v>662</v>
      </c>
      <c r="C773" s="7">
        <v>4274843</v>
      </c>
      <c r="D773" s="23" t="s">
        <v>663</v>
      </c>
      <c r="E773" s="6" t="s">
        <v>664</v>
      </c>
      <c r="F773" s="21" t="s">
        <v>54</v>
      </c>
      <c r="G773" s="45" t="s">
        <v>712</v>
      </c>
      <c r="H773" s="22">
        <v>2506.39</v>
      </c>
      <c r="I773" s="9">
        <v>1</v>
      </c>
      <c r="J773" s="22">
        <f t="shared" si="8"/>
        <v>2506.39</v>
      </c>
      <c r="K773" s="9">
        <f t="array" ref="K773">QUARTILE(IF($F$3:$F$1460=$F773,$H$3:$H$1460),1)</f>
        <v>393.94499999999999</v>
      </c>
      <c r="L773" s="9">
        <f t="array" ref="L773">QUARTILE(IF($F$3:$F$1460=$F773,$H$3:$H$1460),2)</f>
        <v>710.01499999999999</v>
      </c>
      <c r="M773" s="9">
        <f t="array" ref="M773">QUARTILE(IF($F$3:$F$1460=$F773,$H$3:$H$1460),3)</f>
        <v>2552.0574999999999</v>
      </c>
    </row>
    <row r="774" spans="1:13" x14ac:dyDescent="0.25">
      <c r="A774" s="7">
        <v>774</v>
      </c>
      <c r="B774" s="6" t="s">
        <v>662</v>
      </c>
      <c r="C774" s="7">
        <v>4274843</v>
      </c>
      <c r="D774" s="23" t="s">
        <v>663</v>
      </c>
      <c r="E774" s="6" t="s">
        <v>664</v>
      </c>
      <c r="F774" s="21" t="s">
        <v>54</v>
      </c>
      <c r="G774" s="45" t="s">
        <v>713</v>
      </c>
      <c r="H774" s="22">
        <v>1967</v>
      </c>
      <c r="I774" s="9">
        <v>1</v>
      </c>
      <c r="J774" s="22">
        <f t="shared" si="8"/>
        <v>1967</v>
      </c>
      <c r="K774" s="9">
        <f t="array" ref="K774">QUARTILE(IF($F$3:$F$1460=$F774,$H$3:$H$1460),1)</f>
        <v>393.94499999999999</v>
      </c>
      <c r="L774" s="9">
        <f t="array" ref="L774">QUARTILE(IF($F$3:$F$1460=$F774,$H$3:$H$1460),2)</f>
        <v>710.01499999999999</v>
      </c>
      <c r="M774" s="9">
        <f t="array" ref="M774">QUARTILE(IF($F$3:$F$1460=$F774,$H$3:$H$1460),3)</f>
        <v>2552.0574999999999</v>
      </c>
    </row>
    <row r="775" spans="1:13" x14ac:dyDescent="0.25">
      <c r="A775" s="7">
        <v>775</v>
      </c>
      <c r="B775" s="6" t="s">
        <v>662</v>
      </c>
      <c r="C775" s="7">
        <v>4274843</v>
      </c>
      <c r="D775" s="23" t="s">
        <v>663</v>
      </c>
      <c r="E775" s="6" t="s">
        <v>664</v>
      </c>
      <c r="F775" s="21" t="s">
        <v>65</v>
      </c>
      <c r="G775" s="45" t="s">
        <v>714</v>
      </c>
      <c r="H775" s="22">
        <v>11000</v>
      </c>
      <c r="I775" s="9">
        <v>1</v>
      </c>
      <c r="J775" s="22">
        <f t="shared" si="8"/>
        <v>11000</v>
      </c>
      <c r="K775" s="9">
        <f t="array" ref="K775">QUARTILE(IF($F$3:$F$1460=$F775,$H$3:$H$1460),1)</f>
        <v>1383.98</v>
      </c>
      <c r="L775" s="9">
        <f t="array" ref="L775">QUARTILE(IF($F$3:$F$1460=$F775,$H$3:$H$1460),2)</f>
        <v>1866.7</v>
      </c>
      <c r="M775" s="9">
        <f t="array" ref="M775">QUARTILE(IF($F$3:$F$1460=$F775,$H$3:$H$1460),3)</f>
        <v>4574.5833333333339</v>
      </c>
    </row>
    <row r="776" spans="1:13" x14ac:dyDescent="0.25">
      <c r="A776" s="7">
        <v>776</v>
      </c>
      <c r="B776" s="6" t="s">
        <v>662</v>
      </c>
      <c r="C776" s="7">
        <v>4274843</v>
      </c>
      <c r="D776" s="23" t="s">
        <v>663</v>
      </c>
      <c r="E776" s="6" t="s">
        <v>664</v>
      </c>
      <c r="F776" s="21" t="s">
        <v>46</v>
      </c>
      <c r="G776" s="45" t="s">
        <v>715</v>
      </c>
      <c r="H776" s="22">
        <v>2400</v>
      </c>
      <c r="I776" s="9">
        <v>1</v>
      </c>
      <c r="J776" s="22">
        <f t="shared" si="8"/>
        <v>2400</v>
      </c>
      <c r="K776" s="9">
        <f t="array" ref="K776">QUARTILE(IF($F$3:$F$1460=$F776,$H$3:$H$1460),1)</f>
        <v>229.78</v>
      </c>
      <c r="L776" s="9">
        <f t="array" ref="L776">QUARTILE(IF($F$3:$F$1460=$F776,$H$3:$H$1460),2)</f>
        <v>424.2</v>
      </c>
      <c r="M776" s="9">
        <f t="array" ref="M776">QUARTILE(IF($F$3:$F$1460=$F776,$H$3:$H$1460),3)</f>
        <v>1030.3</v>
      </c>
    </row>
    <row r="777" spans="1:13" x14ac:dyDescent="0.25">
      <c r="A777" s="7">
        <v>777</v>
      </c>
      <c r="B777" s="6" t="s">
        <v>716</v>
      </c>
      <c r="C777" s="7">
        <v>5300966</v>
      </c>
      <c r="D777" s="23" t="s">
        <v>717</v>
      </c>
      <c r="E777" s="6" t="s">
        <v>718</v>
      </c>
      <c r="F777" s="21" t="s">
        <v>580</v>
      </c>
      <c r="G777" s="6" t="s">
        <v>719</v>
      </c>
      <c r="H777" s="22">
        <f>2256/1.2</f>
        <v>1880</v>
      </c>
      <c r="I777" s="9">
        <v>85</v>
      </c>
      <c r="J777" s="22">
        <f t="shared" si="8"/>
        <v>159800</v>
      </c>
      <c r="K777" s="9">
        <f t="array" ref="K777">QUARTILE(IF($F$3:$F$1460=$F777,$H$3:$H$1460),1)</f>
        <v>1759.125</v>
      </c>
      <c r="L777" s="9">
        <f t="array" ref="L777">QUARTILE(IF($F$3:$F$1460=$F777,$H$3:$H$1460),2)</f>
        <v>3923.7249999999999</v>
      </c>
      <c r="M777" s="9">
        <f t="array" ref="M777">QUARTILE(IF($F$3:$F$1460=$F777,$H$3:$H$1460),3)</f>
        <v>12062.504999999999</v>
      </c>
    </row>
    <row r="778" spans="1:13" x14ac:dyDescent="0.25">
      <c r="A778" s="7">
        <v>778</v>
      </c>
      <c r="B778" s="6" t="s">
        <v>716</v>
      </c>
      <c r="C778" s="7">
        <v>5300966</v>
      </c>
      <c r="D778" s="23" t="s">
        <v>717</v>
      </c>
      <c r="E778" s="6" t="s">
        <v>718</v>
      </c>
      <c r="F778" s="21" t="s">
        <v>580</v>
      </c>
      <c r="G778" s="6" t="s">
        <v>720</v>
      </c>
      <c r="H778" s="22">
        <f>2995/1.2</f>
        <v>2495.8333333333335</v>
      </c>
      <c r="I778" s="9">
        <v>73</v>
      </c>
      <c r="J778" s="22">
        <f t="shared" si="8"/>
        <v>182195.83333333334</v>
      </c>
      <c r="K778" s="9">
        <f t="array" ref="K778">QUARTILE(IF($F$3:$F$1460=$F778,$H$3:$H$1460),1)</f>
        <v>1759.125</v>
      </c>
      <c r="L778" s="9">
        <f t="array" ref="L778">QUARTILE(IF($F$3:$F$1460=$F778,$H$3:$H$1460),2)</f>
        <v>3923.7249999999999</v>
      </c>
      <c r="M778" s="9">
        <f t="array" ref="M778">QUARTILE(IF($F$3:$F$1460=$F778,$H$3:$H$1460),3)</f>
        <v>12062.504999999999</v>
      </c>
    </row>
    <row r="779" spans="1:13" x14ac:dyDescent="0.25">
      <c r="A779" s="7">
        <v>779</v>
      </c>
      <c r="B779" s="6" t="s">
        <v>716</v>
      </c>
      <c r="C779" s="7">
        <v>5300966</v>
      </c>
      <c r="D779" s="23" t="s">
        <v>717</v>
      </c>
      <c r="E779" s="6" t="s">
        <v>718</v>
      </c>
      <c r="F779" s="21" t="s">
        <v>580</v>
      </c>
      <c r="G779" s="6" t="s">
        <v>721</v>
      </c>
      <c r="H779" s="22">
        <f>1281/1.2</f>
        <v>1067.5</v>
      </c>
      <c r="I779" s="9">
        <v>30</v>
      </c>
      <c r="J779" s="22">
        <f t="shared" si="8"/>
        <v>32025</v>
      </c>
      <c r="K779" s="9">
        <f t="array" ref="K779">QUARTILE(IF($F$3:$F$1460=$F779,$H$3:$H$1460),1)</f>
        <v>1759.125</v>
      </c>
      <c r="L779" s="9">
        <f t="array" ref="L779">QUARTILE(IF($F$3:$F$1460=$F779,$H$3:$H$1460),2)</f>
        <v>3923.7249999999999</v>
      </c>
      <c r="M779" s="9">
        <f t="array" ref="M779">QUARTILE(IF($F$3:$F$1460=$F779,$H$3:$H$1460),3)</f>
        <v>12062.504999999999</v>
      </c>
    </row>
    <row r="780" spans="1:13" x14ac:dyDescent="0.25">
      <c r="A780" s="7">
        <v>780</v>
      </c>
      <c r="B780" s="6" t="s">
        <v>716</v>
      </c>
      <c r="C780" s="7">
        <v>5300966</v>
      </c>
      <c r="D780" s="23" t="s">
        <v>717</v>
      </c>
      <c r="E780" s="6" t="s">
        <v>718</v>
      </c>
      <c r="F780" s="21" t="s">
        <v>580</v>
      </c>
      <c r="G780" s="6" t="s">
        <v>722</v>
      </c>
      <c r="H780" s="22">
        <f>1468/1.2</f>
        <v>1223.3333333333335</v>
      </c>
      <c r="I780" s="9">
        <v>20</v>
      </c>
      <c r="J780" s="22">
        <f t="shared" si="8"/>
        <v>24466.666666666672</v>
      </c>
      <c r="K780" s="9">
        <f t="array" ref="K780">QUARTILE(IF($F$3:$F$1460=$F780,$H$3:$H$1460),1)</f>
        <v>1759.125</v>
      </c>
      <c r="L780" s="9">
        <f t="array" ref="L780">QUARTILE(IF($F$3:$F$1460=$F780,$H$3:$H$1460),2)</f>
        <v>3923.7249999999999</v>
      </c>
      <c r="M780" s="9">
        <f t="array" ref="M780">QUARTILE(IF($F$3:$F$1460=$F780,$H$3:$H$1460),3)</f>
        <v>12062.504999999999</v>
      </c>
    </row>
    <row r="781" spans="1:13" x14ac:dyDescent="0.25">
      <c r="A781" s="7">
        <v>781</v>
      </c>
      <c r="B781" s="6" t="s">
        <v>716</v>
      </c>
      <c r="C781" s="7">
        <v>5300966</v>
      </c>
      <c r="D781" s="23" t="s">
        <v>717</v>
      </c>
      <c r="E781" s="6" t="s">
        <v>718</v>
      </c>
      <c r="F781" s="21" t="s">
        <v>580</v>
      </c>
      <c r="G781" s="6" t="s">
        <v>723</v>
      </c>
      <c r="H781" s="22">
        <f>847/1.2</f>
        <v>705.83333333333337</v>
      </c>
      <c r="I781" s="9">
        <v>65</v>
      </c>
      <c r="J781" s="22">
        <f t="shared" si="8"/>
        <v>45879.166666666672</v>
      </c>
      <c r="K781" s="9">
        <f t="array" ref="K781">QUARTILE(IF($F$3:$F$1460=$F781,$H$3:$H$1460),1)</f>
        <v>1759.125</v>
      </c>
      <c r="L781" s="9">
        <f t="array" ref="L781">QUARTILE(IF($F$3:$F$1460=$F781,$H$3:$H$1460),2)</f>
        <v>3923.7249999999999</v>
      </c>
      <c r="M781" s="9">
        <f t="array" ref="M781">QUARTILE(IF($F$3:$F$1460=$F781,$H$3:$H$1460),3)</f>
        <v>12062.504999999999</v>
      </c>
    </row>
    <row r="782" spans="1:13" x14ac:dyDescent="0.25">
      <c r="A782" s="7">
        <v>782</v>
      </c>
      <c r="B782" s="6" t="s">
        <v>716</v>
      </c>
      <c r="C782" s="7">
        <v>5300966</v>
      </c>
      <c r="D782" s="23" t="s">
        <v>717</v>
      </c>
      <c r="E782" s="6" t="s">
        <v>718</v>
      </c>
      <c r="F782" s="21" t="s">
        <v>580</v>
      </c>
      <c r="G782" s="6" t="s">
        <v>724</v>
      </c>
      <c r="H782" s="22">
        <f>1359/1.2</f>
        <v>1132.5</v>
      </c>
      <c r="I782" s="9">
        <v>32</v>
      </c>
      <c r="J782" s="22">
        <f t="shared" si="8"/>
        <v>36240</v>
      </c>
      <c r="K782" s="9">
        <f t="array" ref="K782">QUARTILE(IF($F$3:$F$1460=$F782,$H$3:$H$1460),1)</f>
        <v>1759.125</v>
      </c>
      <c r="L782" s="9">
        <f t="array" ref="L782">QUARTILE(IF($F$3:$F$1460=$F782,$H$3:$H$1460),2)</f>
        <v>3923.7249999999999</v>
      </c>
      <c r="M782" s="9">
        <f t="array" ref="M782">QUARTILE(IF($F$3:$F$1460=$F782,$H$3:$H$1460),3)</f>
        <v>12062.504999999999</v>
      </c>
    </row>
    <row r="783" spans="1:13" x14ac:dyDescent="0.25">
      <c r="A783" s="7">
        <v>783</v>
      </c>
      <c r="B783" s="6" t="s">
        <v>716</v>
      </c>
      <c r="C783" s="7">
        <v>5300966</v>
      </c>
      <c r="D783" s="23" t="s">
        <v>717</v>
      </c>
      <c r="E783" s="6" t="s">
        <v>718</v>
      </c>
      <c r="F783" s="21" t="s">
        <v>580</v>
      </c>
      <c r="G783" s="6" t="s">
        <v>725</v>
      </c>
      <c r="H783" s="22">
        <f>512/1.2</f>
        <v>426.66666666666669</v>
      </c>
      <c r="I783" s="9">
        <v>22</v>
      </c>
      <c r="J783" s="22">
        <f t="shared" si="8"/>
        <v>9386.6666666666679</v>
      </c>
      <c r="K783" s="9">
        <f t="array" ref="K783">QUARTILE(IF($F$3:$F$1460=$F783,$H$3:$H$1460),1)</f>
        <v>1759.125</v>
      </c>
      <c r="L783" s="9">
        <f t="array" ref="L783">QUARTILE(IF($F$3:$F$1460=$F783,$H$3:$H$1460),2)</f>
        <v>3923.7249999999999</v>
      </c>
      <c r="M783" s="9">
        <f t="array" ref="M783">QUARTILE(IF($F$3:$F$1460=$F783,$H$3:$H$1460),3)</f>
        <v>12062.504999999999</v>
      </c>
    </row>
    <row r="784" spans="1:13" x14ac:dyDescent="0.25">
      <c r="A784" s="7">
        <v>784</v>
      </c>
      <c r="B784" s="6" t="s">
        <v>716</v>
      </c>
      <c r="C784" s="7">
        <v>5300966</v>
      </c>
      <c r="D784" s="23" t="s">
        <v>717</v>
      </c>
      <c r="E784" s="6" t="s">
        <v>718</v>
      </c>
      <c r="F784" s="21" t="s">
        <v>580</v>
      </c>
      <c r="G784" s="6" t="s">
        <v>726</v>
      </c>
      <c r="H784" s="22">
        <f>798/1.2</f>
        <v>665</v>
      </c>
      <c r="I784" s="9">
        <v>22</v>
      </c>
      <c r="J784" s="22">
        <f t="shared" si="8"/>
        <v>14630</v>
      </c>
      <c r="K784" s="9">
        <f t="array" ref="K784">QUARTILE(IF($F$3:$F$1460=$F784,$H$3:$H$1460),1)</f>
        <v>1759.125</v>
      </c>
      <c r="L784" s="9">
        <f t="array" ref="L784">QUARTILE(IF($F$3:$F$1460=$F784,$H$3:$H$1460),2)</f>
        <v>3923.7249999999999</v>
      </c>
      <c r="M784" s="9">
        <f t="array" ref="M784">QUARTILE(IF($F$3:$F$1460=$F784,$H$3:$H$1460),3)</f>
        <v>12062.504999999999</v>
      </c>
    </row>
    <row r="785" spans="1:13" x14ac:dyDescent="0.25">
      <c r="A785" s="7">
        <v>785</v>
      </c>
      <c r="B785" s="6" t="s">
        <v>716</v>
      </c>
      <c r="C785" s="7">
        <v>5300966</v>
      </c>
      <c r="D785" s="23" t="s">
        <v>717</v>
      </c>
      <c r="E785" s="6" t="s">
        <v>718</v>
      </c>
      <c r="F785" s="21" t="s">
        <v>580</v>
      </c>
      <c r="G785" s="6" t="s">
        <v>727</v>
      </c>
      <c r="H785" s="22">
        <f>561/1.2</f>
        <v>467.5</v>
      </c>
      <c r="I785" s="9">
        <v>22</v>
      </c>
      <c r="J785" s="22">
        <f t="shared" si="8"/>
        <v>10285</v>
      </c>
      <c r="K785" s="9">
        <f t="array" ref="K785">QUARTILE(IF($F$3:$F$1460=$F785,$H$3:$H$1460),1)</f>
        <v>1759.125</v>
      </c>
      <c r="L785" s="9">
        <f t="array" ref="L785">QUARTILE(IF($F$3:$F$1460=$F785,$H$3:$H$1460),2)</f>
        <v>3923.7249999999999</v>
      </c>
      <c r="M785" s="9">
        <f t="array" ref="M785">QUARTILE(IF($F$3:$F$1460=$F785,$H$3:$H$1460),3)</f>
        <v>12062.504999999999</v>
      </c>
    </row>
    <row r="786" spans="1:13" x14ac:dyDescent="0.25">
      <c r="A786" s="7">
        <v>786</v>
      </c>
      <c r="B786" s="6" t="s">
        <v>716</v>
      </c>
      <c r="C786" s="7">
        <v>5300966</v>
      </c>
      <c r="D786" s="23" t="s">
        <v>717</v>
      </c>
      <c r="E786" s="6" t="s">
        <v>718</v>
      </c>
      <c r="F786" s="21" t="s">
        <v>580</v>
      </c>
      <c r="G786" s="6" t="s">
        <v>728</v>
      </c>
      <c r="H786" s="22">
        <f>335/1.2</f>
        <v>279.16666666666669</v>
      </c>
      <c r="I786" s="9">
        <v>12</v>
      </c>
      <c r="J786" s="22">
        <f t="shared" si="8"/>
        <v>3350</v>
      </c>
      <c r="K786" s="9">
        <f t="array" ref="K786">QUARTILE(IF($F$3:$F$1460=$F786,$H$3:$H$1460),1)</f>
        <v>1759.125</v>
      </c>
      <c r="L786" s="9">
        <f t="array" ref="L786">QUARTILE(IF($F$3:$F$1460=$F786,$H$3:$H$1460),2)</f>
        <v>3923.7249999999999</v>
      </c>
      <c r="M786" s="9">
        <f t="array" ref="M786">QUARTILE(IF($F$3:$F$1460=$F786,$H$3:$H$1460),3)</f>
        <v>12062.504999999999</v>
      </c>
    </row>
    <row r="787" spans="1:13" x14ac:dyDescent="0.25">
      <c r="A787" s="7">
        <v>787</v>
      </c>
      <c r="B787" s="6" t="s">
        <v>716</v>
      </c>
      <c r="C787" s="7">
        <v>5300966</v>
      </c>
      <c r="D787" s="23" t="s">
        <v>717</v>
      </c>
      <c r="E787" s="6" t="s">
        <v>718</v>
      </c>
      <c r="F787" s="21" t="s">
        <v>580</v>
      </c>
      <c r="G787" s="6" t="s">
        <v>729</v>
      </c>
      <c r="H787" s="22">
        <f>305/1.2</f>
        <v>254.16666666666669</v>
      </c>
      <c r="I787" s="9">
        <v>20</v>
      </c>
      <c r="J787" s="22">
        <f t="shared" si="8"/>
        <v>5083.3333333333339</v>
      </c>
      <c r="K787" s="9">
        <f t="array" ref="K787">QUARTILE(IF($F$3:$F$1460=$F787,$H$3:$H$1460),1)</f>
        <v>1759.125</v>
      </c>
      <c r="L787" s="9">
        <f t="array" ref="L787">QUARTILE(IF($F$3:$F$1460=$F787,$H$3:$H$1460),2)</f>
        <v>3923.7249999999999</v>
      </c>
      <c r="M787" s="9">
        <f t="array" ref="M787">QUARTILE(IF($F$3:$F$1460=$F787,$H$3:$H$1460),3)</f>
        <v>12062.504999999999</v>
      </c>
    </row>
    <row r="788" spans="1:13" ht="33" x14ac:dyDescent="0.25">
      <c r="A788" s="7">
        <v>788</v>
      </c>
      <c r="B788" s="6" t="s">
        <v>716</v>
      </c>
      <c r="C788" s="7">
        <v>5300966</v>
      </c>
      <c r="D788" s="23" t="s">
        <v>717</v>
      </c>
      <c r="E788" s="6" t="s">
        <v>718</v>
      </c>
      <c r="F788" s="35" t="s">
        <v>80</v>
      </c>
      <c r="G788" s="30" t="s">
        <v>730</v>
      </c>
      <c r="H788" s="22">
        <f>93208/1.2</f>
        <v>77673.333333333343</v>
      </c>
      <c r="I788" s="9">
        <v>5</v>
      </c>
      <c r="J788" s="22">
        <f t="shared" si="8"/>
        <v>388366.66666666674</v>
      </c>
      <c r="K788" s="9">
        <f t="array" ref="K788">QUARTILE(IF($F$3:$F$1460=$F788,$H$3:$H$1460),1)</f>
        <v>37430.41333333333</v>
      </c>
      <c r="L788" s="9">
        <f t="array" ref="L788">QUARTILE(IF($F$3:$F$1460=$F788,$H$3:$H$1460),2)</f>
        <v>66159.166666666672</v>
      </c>
      <c r="M788" s="9">
        <f t="array" ref="M788">QUARTILE(IF($F$3:$F$1460=$F788,$H$3:$H$1460),3)</f>
        <v>71916.25</v>
      </c>
    </row>
    <row r="789" spans="1:13" ht="33" x14ac:dyDescent="0.25">
      <c r="A789" s="7">
        <v>789</v>
      </c>
      <c r="B789" s="6" t="s">
        <v>716</v>
      </c>
      <c r="C789" s="7">
        <v>5300966</v>
      </c>
      <c r="D789" s="23" t="s">
        <v>717</v>
      </c>
      <c r="E789" s="6" t="s">
        <v>718</v>
      </c>
      <c r="F789" s="35" t="s">
        <v>80</v>
      </c>
      <c r="G789" s="30" t="s">
        <v>731</v>
      </c>
      <c r="H789" s="22">
        <f>79391/1.2</f>
        <v>66159.166666666672</v>
      </c>
      <c r="I789" s="9">
        <v>4</v>
      </c>
      <c r="J789" s="22">
        <f t="shared" si="8"/>
        <v>264636.66666666669</v>
      </c>
      <c r="K789" s="9">
        <f t="array" ref="K789">QUARTILE(IF($F$3:$F$1460=$F789,$H$3:$H$1460),1)</f>
        <v>37430.41333333333</v>
      </c>
      <c r="L789" s="9">
        <f t="array" ref="L789">QUARTILE(IF($F$3:$F$1460=$F789,$H$3:$H$1460),2)</f>
        <v>66159.166666666672</v>
      </c>
      <c r="M789" s="9">
        <f t="array" ref="M789">QUARTILE(IF($F$3:$F$1460=$F789,$H$3:$H$1460),3)</f>
        <v>71916.25</v>
      </c>
    </row>
    <row r="790" spans="1:13" x14ac:dyDescent="0.25">
      <c r="A790" s="7">
        <v>790</v>
      </c>
      <c r="B790" s="6" t="s">
        <v>716</v>
      </c>
      <c r="C790" s="7">
        <v>5300966</v>
      </c>
      <c r="D790" s="23" t="s">
        <v>717</v>
      </c>
      <c r="E790" s="6" t="s">
        <v>718</v>
      </c>
      <c r="F790" s="21" t="s">
        <v>53</v>
      </c>
      <c r="G790" s="6" t="s">
        <v>732</v>
      </c>
      <c r="H790" s="22">
        <f>384/1.2</f>
        <v>320</v>
      </c>
      <c r="I790" s="9">
        <v>75</v>
      </c>
      <c r="J790" s="22">
        <f t="shared" si="8"/>
        <v>24000</v>
      </c>
      <c r="K790" s="9">
        <f t="array" ref="K790">QUARTILE(IF($F$3:$F$1460=$F790,$H$3:$H$1460),1)</f>
        <v>372.55833333333334</v>
      </c>
      <c r="L790" s="9">
        <f t="array" ref="L790">QUARTILE(IF($F$3:$F$1460=$F790,$H$3:$H$1460),2)</f>
        <v>508.75000000000006</v>
      </c>
      <c r="M790" s="9">
        <f t="array" ref="M790">QUARTILE(IF($F$3:$F$1460=$F790,$H$3:$H$1460),3)</f>
        <v>725.7166666666667</v>
      </c>
    </row>
    <row r="791" spans="1:13" x14ac:dyDescent="0.25">
      <c r="A791" s="7">
        <v>791</v>
      </c>
      <c r="B791" s="6" t="s">
        <v>716</v>
      </c>
      <c r="C791" s="7">
        <v>5300966</v>
      </c>
      <c r="D791" s="23" t="s">
        <v>717</v>
      </c>
      <c r="E791" s="6" t="s">
        <v>718</v>
      </c>
      <c r="F791" s="21" t="s">
        <v>53</v>
      </c>
      <c r="G791" s="6" t="s">
        <v>733</v>
      </c>
      <c r="H791" s="22">
        <f>601/1.2</f>
        <v>500.83333333333337</v>
      </c>
      <c r="I791" s="9">
        <v>42</v>
      </c>
      <c r="J791" s="22">
        <f t="shared" si="8"/>
        <v>21035</v>
      </c>
      <c r="K791" s="9">
        <f t="array" ref="K791">QUARTILE(IF($F$3:$F$1460=$F791,$H$3:$H$1460),1)</f>
        <v>372.55833333333334</v>
      </c>
      <c r="L791" s="9">
        <f t="array" ref="L791">QUARTILE(IF($F$3:$F$1460=$F791,$H$3:$H$1460),2)</f>
        <v>508.75000000000006</v>
      </c>
      <c r="M791" s="9">
        <f t="array" ref="M791">QUARTILE(IF($F$3:$F$1460=$F791,$H$3:$H$1460),3)</f>
        <v>725.7166666666667</v>
      </c>
    </row>
    <row r="792" spans="1:13" x14ac:dyDescent="0.25">
      <c r="A792" s="7">
        <v>792</v>
      </c>
      <c r="B792" s="6" t="s">
        <v>716</v>
      </c>
      <c r="C792" s="7">
        <v>5300966</v>
      </c>
      <c r="D792" s="23" t="s">
        <v>717</v>
      </c>
      <c r="E792" s="6" t="s">
        <v>718</v>
      </c>
      <c r="F792" s="21" t="s">
        <v>53</v>
      </c>
      <c r="G792" s="6" t="s">
        <v>734</v>
      </c>
      <c r="H792" s="22">
        <f>620/1.2</f>
        <v>516.66666666666674</v>
      </c>
      <c r="I792" s="9">
        <v>45</v>
      </c>
      <c r="J792" s="22">
        <f t="shared" si="8"/>
        <v>23250.000000000004</v>
      </c>
      <c r="K792" s="9">
        <f t="array" ref="K792">QUARTILE(IF($F$3:$F$1460=$F792,$H$3:$H$1460),1)</f>
        <v>372.55833333333334</v>
      </c>
      <c r="L792" s="9">
        <f t="array" ref="L792">QUARTILE(IF($F$3:$F$1460=$F792,$H$3:$H$1460),2)</f>
        <v>508.75000000000006</v>
      </c>
      <c r="M792" s="9">
        <f t="array" ref="M792">QUARTILE(IF($F$3:$F$1460=$F792,$H$3:$H$1460),3)</f>
        <v>725.7166666666667</v>
      </c>
    </row>
    <row r="793" spans="1:13" x14ac:dyDescent="0.25">
      <c r="A793" s="7">
        <v>793</v>
      </c>
      <c r="B793" s="6" t="s">
        <v>716</v>
      </c>
      <c r="C793" s="7">
        <v>5300966</v>
      </c>
      <c r="D793" s="23" t="s">
        <v>717</v>
      </c>
      <c r="E793" s="6" t="s">
        <v>718</v>
      </c>
      <c r="F793" s="21" t="s">
        <v>72</v>
      </c>
      <c r="G793" s="6" t="s">
        <v>735</v>
      </c>
      <c r="H793" s="22">
        <f>2503/1.2</f>
        <v>2085.8333333333335</v>
      </c>
      <c r="I793" s="9">
        <v>20</v>
      </c>
      <c r="J793" s="22">
        <f t="shared" si="8"/>
        <v>41716.666666666672</v>
      </c>
      <c r="K793" s="9">
        <f t="array" ref="K793">QUARTILE(IF($F$3:$F$1460=$F793,$H$3:$H$1460),1)</f>
        <v>5198.3333333333339</v>
      </c>
      <c r="L793" s="9">
        <f t="array" ref="L793">QUARTILE(IF($F$3:$F$1460=$F793,$H$3:$H$1460),2)</f>
        <v>11316.666666666668</v>
      </c>
      <c r="M793" s="9">
        <f t="array" ref="M793">QUARTILE(IF($F$3:$F$1460=$F793,$H$3:$H$1460),3)</f>
        <v>29499.166666666668</v>
      </c>
    </row>
    <row r="794" spans="1:13" x14ac:dyDescent="0.25">
      <c r="A794" s="7">
        <v>794</v>
      </c>
      <c r="B794" s="6" t="s">
        <v>716</v>
      </c>
      <c r="C794" s="7">
        <v>5300966</v>
      </c>
      <c r="D794" s="23" t="s">
        <v>717</v>
      </c>
      <c r="E794" s="6" t="s">
        <v>718</v>
      </c>
      <c r="F794" s="21" t="s">
        <v>72</v>
      </c>
      <c r="G794" s="6" t="s">
        <v>736</v>
      </c>
      <c r="H794" s="22">
        <f>6238/1.2</f>
        <v>5198.3333333333339</v>
      </c>
      <c r="I794" s="9">
        <v>18</v>
      </c>
      <c r="J794" s="22">
        <f t="shared" si="8"/>
        <v>93570.000000000015</v>
      </c>
      <c r="K794" s="9">
        <f t="array" ref="K794">QUARTILE(IF($F$3:$F$1460=$F794,$H$3:$H$1460),1)</f>
        <v>5198.3333333333339</v>
      </c>
      <c r="L794" s="9">
        <f t="array" ref="L794">QUARTILE(IF($F$3:$F$1460=$F794,$H$3:$H$1460),2)</f>
        <v>11316.666666666668</v>
      </c>
      <c r="M794" s="9">
        <f t="array" ref="M794">QUARTILE(IF($F$3:$F$1460=$F794,$H$3:$H$1460),3)</f>
        <v>29499.166666666668</v>
      </c>
    </row>
    <row r="795" spans="1:13" x14ac:dyDescent="0.25">
      <c r="A795" s="7">
        <v>795</v>
      </c>
      <c r="B795" s="6" t="s">
        <v>716</v>
      </c>
      <c r="C795" s="7">
        <v>5300966</v>
      </c>
      <c r="D795" s="23" t="s">
        <v>717</v>
      </c>
      <c r="E795" s="6" t="s">
        <v>718</v>
      </c>
      <c r="F795" s="21" t="s">
        <v>72</v>
      </c>
      <c r="G795" s="6" t="s">
        <v>737</v>
      </c>
      <c r="H795" s="22">
        <f>13580/1.2</f>
        <v>11316.666666666668</v>
      </c>
      <c r="I795" s="9">
        <v>18</v>
      </c>
      <c r="J795" s="22">
        <f t="shared" si="8"/>
        <v>203700.00000000003</v>
      </c>
      <c r="K795" s="9">
        <f t="array" ref="K795">QUARTILE(IF($F$3:$F$1460=$F795,$H$3:$H$1460),1)</f>
        <v>5198.3333333333339</v>
      </c>
      <c r="L795" s="9">
        <f t="array" ref="L795">QUARTILE(IF($F$3:$F$1460=$F795,$H$3:$H$1460),2)</f>
        <v>11316.666666666668</v>
      </c>
      <c r="M795" s="9">
        <f t="array" ref="M795">QUARTILE(IF($F$3:$F$1460=$F795,$H$3:$H$1460),3)</f>
        <v>29499.166666666668</v>
      </c>
    </row>
    <row r="796" spans="1:13" x14ac:dyDescent="0.25">
      <c r="A796" s="7">
        <v>796</v>
      </c>
      <c r="B796" s="6" t="s">
        <v>716</v>
      </c>
      <c r="C796" s="7">
        <v>5300966</v>
      </c>
      <c r="D796" s="23" t="s">
        <v>717</v>
      </c>
      <c r="E796" s="6" t="s">
        <v>718</v>
      </c>
      <c r="F796" s="21" t="s">
        <v>72</v>
      </c>
      <c r="G796" s="6" t="s">
        <v>738</v>
      </c>
      <c r="H796" s="22">
        <f>35399/1.2</f>
        <v>29499.166666666668</v>
      </c>
      <c r="I796" s="9">
        <v>12</v>
      </c>
      <c r="J796" s="22">
        <f t="shared" si="8"/>
        <v>353990</v>
      </c>
      <c r="K796" s="9">
        <f t="array" ref="K796">QUARTILE(IF($F$3:$F$1460=$F796,$H$3:$H$1460),1)</f>
        <v>5198.3333333333339</v>
      </c>
      <c r="L796" s="9">
        <f t="array" ref="L796">QUARTILE(IF($F$3:$F$1460=$F796,$H$3:$H$1460),2)</f>
        <v>11316.666666666668</v>
      </c>
      <c r="M796" s="9">
        <f t="array" ref="M796">QUARTILE(IF($F$3:$F$1460=$F796,$H$3:$H$1460),3)</f>
        <v>29499.166666666668</v>
      </c>
    </row>
    <row r="797" spans="1:13" x14ac:dyDescent="0.25">
      <c r="A797" s="7">
        <v>797</v>
      </c>
      <c r="B797" s="6" t="s">
        <v>716</v>
      </c>
      <c r="C797" s="7">
        <v>5300966</v>
      </c>
      <c r="D797" s="23" t="s">
        <v>717</v>
      </c>
      <c r="E797" s="6" t="s">
        <v>718</v>
      </c>
      <c r="F797" s="21" t="s">
        <v>72</v>
      </c>
      <c r="G797" s="6" t="s">
        <v>739</v>
      </c>
      <c r="H797" s="22">
        <f>59041/1.2</f>
        <v>49200.833333333336</v>
      </c>
      <c r="I797" s="9">
        <v>5</v>
      </c>
      <c r="J797" s="22">
        <f t="shared" si="8"/>
        <v>246004.16666666669</v>
      </c>
      <c r="K797" s="9">
        <f t="array" ref="K797">QUARTILE(IF($F$3:$F$1460=$F797,$H$3:$H$1460),1)</f>
        <v>5198.3333333333339</v>
      </c>
      <c r="L797" s="9">
        <f t="array" ref="L797">QUARTILE(IF($F$3:$F$1460=$F797,$H$3:$H$1460),2)</f>
        <v>11316.666666666668</v>
      </c>
      <c r="M797" s="9">
        <f t="array" ref="M797">QUARTILE(IF($F$3:$F$1460=$F797,$H$3:$H$1460),3)</f>
        <v>29499.166666666668</v>
      </c>
    </row>
    <row r="798" spans="1:13" x14ac:dyDescent="0.25">
      <c r="A798" s="7">
        <v>798</v>
      </c>
      <c r="B798" s="6" t="s">
        <v>716</v>
      </c>
      <c r="C798" s="7">
        <v>5300966</v>
      </c>
      <c r="D798" s="23" t="s">
        <v>717</v>
      </c>
      <c r="E798" s="6" t="s">
        <v>718</v>
      </c>
      <c r="F798" s="21" t="s">
        <v>57</v>
      </c>
      <c r="G798" s="6" t="s">
        <v>740</v>
      </c>
      <c r="H798" s="22">
        <f>1015/1.2</f>
        <v>845.83333333333337</v>
      </c>
      <c r="I798" s="9">
        <v>120</v>
      </c>
      <c r="J798" s="22">
        <f t="shared" si="8"/>
        <v>101500</v>
      </c>
      <c r="K798" s="9">
        <f t="array" ref="K798">QUARTILE(IF($F$3:$F$1460=$F798,$H$3:$H$1460),1)</f>
        <v>521.25</v>
      </c>
      <c r="L798" s="9">
        <f t="array" ref="L798">QUARTILE(IF($F$3:$F$1460=$F798,$H$3:$H$1460),2)</f>
        <v>707.91666666666674</v>
      </c>
      <c r="M798" s="9">
        <f t="array" ref="M798">QUARTILE(IF($F$3:$F$1460=$F798,$H$3:$H$1460),3)</f>
        <v>851.875</v>
      </c>
    </row>
    <row r="799" spans="1:13" x14ac:dyDescent="0.25">
      <c r="A799" s="7">
        <v>799</v>
      </c>
      <c r="B799" s="6" t="s">
        <v>716</v>
      </c>
      <c r="C799" s="7">
        <v>5300966</v>
      </c>
      <c r="D799" s="23" t="s">
        <v>717</v>
      </c>
      <c r="E799" s="6" t="s">
        <v>718</v>
      </c>
      <c r="F799" s="21" t="s">
        <v>36</v>
      </c>
      <c r="G799" s="6" t="s">
        <v>741</v>
      </c>
      <c r="H799" s="22">
        <f>611/1.2</f>
        <v>509.16666666666669</v>
      </c>
      <c r="I799" s="9">
        <v>160</v>
      </c>
      <c r="J799" s="22">
        <f t="shared" si="8"/>
        <v>81466.666666666672</v>
      </c>
      <c r="K799" s="9">
        <f t="array" ref="K799">QUARTILE(IF($F$3:$F$1460=$F799,$H$3:$H$1460),1)</f>
        <v>88.21</v>
      </c>
      <c r="L799" s="9">
        <f t="array" ref="L799">QUARTILE(IF($F$3:$F$1460=$F799,$H$3:$H$1460),2)</f>
        <v>134.57</v>
      </c>
      <c r="M799" s="9">
        <f t="array" ref="M799">QUARTILE(IF($F$3:$F$1460=$F799,$H$3:$H$1460),3)</f>
        <v>252.7</v>
      </c>
    </row>
    <row r="800" spans="1:13" x14ac:dyDescent="0.25">
      <c r="A800" s="7">
        <v>800</v>
      </c>
      <c r="B800" s="6" t="s">
        <v>716</v>
      </c>
      <c r="C800" s="7">
        <v>5300966</v>
      </c>
      <c r="D800" s="23" t="s">
        <v>717</v>
      </c>
      <c r="E800" s="6" t="s">
        <v>718</v>
      </c>
      <c r="F800" s="21" t="s">
        <v>36</v>
      </c>
      <c r="G800" s="6" t="s">
        <v>742</v>
      </c>
      <c r="H800" s="22">
        <f>788/1.2</f>
        <v>656.66666666666674</v>
      </c>
      <c r="I800" s="9">
        <v>35</v>
      </c>
      <c r="J800" s="22">
        <f t="shared" si="8"/>
        <v>22983.333333333336</v>
      </c>
      <c r="K800" s="9">
        <f t="array" ref="K800">QUARTILE(IF($F$3:$F$1460=$F800,$H$3:$H$1460),1)</f>
        <v>88.21</v>
      </c>
      <c r="L800" s="9">
        <f t="array" ref="L800">QUARTILE(IF($F$3:$F$1460=$F800,$H$3:$H$1460),2)</f>
        <v>134.57</v>
      </c>
      <c r="M800" s="9">
        <f t="array" ref="M800">QUARTILE(IF($F$3:$F$1460=$F800,$H$3:$H$1460),3)</f>
        <v>252.7</v>
      </c>
    </row>
    <row r="801" spans="1:13" x14ac:dyDescent="0.25">
      <c r="A801" s="7">
        <v>801</v>
      </c>
      <c r="B801" s="6" t="s">
        <v>716</v>
      </c>
      <c r="C801" s="7">
        <v>5300966</v>
      </c>
      <c r="D801" s="23" t="s">
        <v>717</v>
      </c>
      <c r="E801" s="6" t="s">
        <v>718</v>
      </c>
      <c r="F801" s="21" t="s">
        <v>50</v>
      </c>
      <c r="G801" s="6" t="s">
        <v>743</v>
      </c>
      <c r="H801" s="22">
        <f>205/1.2</f>
        <v>170.83333333333334</v>
      </c>
      <c r="I801" s="9">
        <v>18</v>
      </c>
      <c r="J801" s="22">
        <f t="shared" si="8"/>
        <v>3075</v>
      </c>
      <c r="K801" s="9">
        <f t="array" ref="K801">QUARTILE(IF($F$3:$F$1460=$F801,$H$3:$H$1460),1)</f>
        <v>307.64999999999998</v>
      </c>
      <c r="L801" s="9">
        <f t="array" ref="L801">QUARTILE(IF($F$3:$F$1460=$F801,$H$3:$H$1460),2)</f>
        <v>533.63</v>
      </c>
      <c r="M801" s="9">
        <f t="array" ref="M801">QUARTILE(IF($F$3:$F$1460=$F801,$H$3:$H$1460),3)</f>
        <v>761.32</v>
      </c>
    </row>
    <row r="802" spans="1:13" x14ac:dyDescent="0.25">
      <c r="A802" s="7">
        <v>802</v>
      </c>
      <c r="B802" s="6" t="s">
        <v>716</v>
      </c>
      <c r="C802" s="7">
        <v>5300966</v>
      </c>
      <c r="D802" s="23" t="s">
        <v>717</v>
      </c>
      <c r="E802" s="6" t="s">
        <v>718</v>
      </c>
      <c r="F802" s="21" t="s">
        <v>50</v>
      </c>
      <c r="G802" s="6" t="s">
        <v>744</v>
      </c>
      <c r="H802" s="22">
        <f>285/1.2</f>
        <v>237.5</v>
      </c>
      <c r="I802" s="9">
        <v>19</v>
      </c>
      <c r="J802" s="22">
        <f t="shared" si="8"/>
        <v>4512.5</v>
      </c>
      <c r="K802" s="9">
        <f t="array" ref="K802">QUARTILE(IF($F$3:$F$1460=$F802,$H$3:$H$1460),1)</f>
        <v>307.64999999999998</v>
      </c>
      <c r="L802" s="9">
        <f t="array" ref="L802">QUARTILE(IF($F$3:$F$1460=$F802,$H$3:$H$1460),2)</f>
        <v>533.63</v>
      </c>
      <c r="M802" s="9">
        <f t="array" ref="M802">QUARTILE(IF($F$3:$F$1460=$F802,$H$3:$H$1460),3)</f>
        <v>761.32</v>
      </c>
    </row>
    <row r="803" spans="1:13" x14ac:dyDescent="0.25">
      <c r="A803" s="7">
        <v>803</v>
      </c>
      <c r="B803" s="6" t="s">
        <v>716</v>
      </c>
      <c r="C803" s="7">
        <v>5300966</v>
      </c>
      <c r="D803" s="23" t="s">
        <v>717</v>
      </c>
      <c r="E803" s="6" t="s">
        <v>718</v>
      </c>
      <c r="F803" s="21" t="s">
        <v>50</v>
      </c>
      <c r="G803" s="6" t="s">
        <v>745</v>
      </c>
      <c r="H803" s="22">
        <f>581/1.2</f>
        <v>484.16666666666669</v>
      </c>
      <c r="I803" s="9">
        <v>40</v>
      </c>
      <c r="J803" s="22">
        <f t="shared" si="8"/>
        <v>19366.666666666668</v>
      </c>
      <c r="K803" s="9">
        <f t="array" ref="K803">QUARTILE(IF($F$3:$F$1460=$F803,$H$3:$H$1460),1)</f>
        <v>307.64999999999998</v>
      </c>
      <c r="L803" s="9">
        <f t="array" ref="L803">QUARTILE(IF($F$3:$F$1460=$F803,$H$3:$H$1460),2)</f>
        <v>533.63</v>
      </c>
      <c r="M803" s="9">
        <f t="array" ref="M803">QUARTILE(IF($F$3:$F$1460=$F803,$H$3:$H$1460),3)</f>
        <v>761.32</v>
      </c>
    </row>
    <row r="804" spans="1:13" x14ac:dyDescent="0.25">
      <c r="A804" s="7">
        <v>804</v>
      </c>
      <c r="B804" s="6" t="s">
        <v>716</v>
      </c>
      <c r="C804" s="7">
        <v>5300966</v>
      </c>
      <c r="D804" s="23" t="s">
        <v>717</v>
      </c>
      <c r="E804" s="6" t="s">
        <v>718</v>
      </c>
      <c r="F804" s="21" t="s">
        <v>50</v>
      </c>
      <c r="G804" s="6" t="s">
        <v>746</v>
      </c>
      <c r="H804" s="22">
        <f>1428/1.2</f>
        <v>1190</v>
      </c>
      <c r="I804" s="9">
        <v>45</v>
      </c>
      <c r="J804" s="22">
        <f t="shared" si="8"/>
        <v>53550</v>
      </c>
      <c r="K804" s="9">
        <f t="array" ref="K804">QUARTILE(IF($F$3:$F$1460=$F804,$H$3:$H$1460),1)</f>
        <v>307.64999999999998</v>
      </c>
      <c r="L804" s="9">
        <f t="array" ref="L804">QUARTILE(IF($F$3:$F$1460=$F804,$H$3:$H$1460),2)</f>
        <v>533.63</v>
      </c>
      <c r="M804" s="9">
        <f t="array" ref="M804">QUARTILE(IF($F$3:$F$1460=$F804,$H$3:$H$1460),3)</f>
        <v>761.32</v>
      </c>
    </row>
    <row r="805" spans="1:13" x14ac:dyDescent="0.25">
      <c r="A805" s="7">
        <v>805</v>
      </c>
      <c r="B805" s="6" t="s">
        <v>716</v>
      </c>
      <c r="C805" s="7">
        <v>5300966</v>
      </c>
      <c r="D805" s="23" t="s">
        <v>717</v>
      </c>
      <c r="E805" s="6" t="s">
        <v>718</v>
      </c>
      <c r="F805" s="21" t="s">
        <v>60</v>
      </c>
      <c r="G805" s="45" t="s">
        <v>747</v>
      </c>
      <c r="H805" s="22">
        <f>551/1.2</f>
        <v>459.16666666666669</v>
      </c>
      <c r="I805" s="9">
        <v>32</v>
      </c>
      <c r="J805" s="22">
        <f t="shared" si="8"/>
        <v>14693.333333333334</v>
      </c>
      <c r="K805" s="9">
        <f t="array" ref="K805">QUARTILE(IF($F$3:$F$1460=$F805,$H$3:$H$1460),1)</f>
        <v>680</v>
      </c>
      <c r="L805" s="9">
        <f t="array" ref="L805">QUARTILE(IF($F$3:$F$1460=$F805,$H$3:$H$1460),2)</f>
        <v>991</v>
      </c>
      <c r="M805" s="9">
        <f t="array" ref="M805">QUARTILE(IF($F$3:$F$1460=$F805,$H$3:$H$1460),3)</f>
        <v>1485.8333333333335</v>
      </c>
    </row>
    <row r="806" spans="1:13" x14ac:dyDescent="0.25">
      <c r="A806" s="7">
        <v>806</v>
      </c>
      <c r="B806" s="6" t="s">
        <v>716</v>
      </c>
      <c r="C806" s="7">
        <v>5300966</v>
      </c>
      <c r="D806" s="23" t="s">
        <v>717</v>
      </c>
      <c r="E806" s="6" t="s">
        <v>718</v>
      </c>
      <c r="F806" s="21" t="s">
        <v>60</v>
      </c>
      <c r="G806" s="45" t="s">
        <v>748</v>
      </c>
      <c r="H806" s="22">
        <f>384/1.2</f>
        <v>320</v>
      </c>
      <c r="I806" s="9">
        <v>80</v>
      </c>
      <c r="J806" s="22">
        <f t="shared" si="8"/>
        <v>25600</v>
      </c>
      <c r="K806" s="9">
        <f t="array" ref="K806">QUARTILE(IF($F$3:$F$1460=$F806,$H$3:$H$1460),1)</f>
        <v>680</v>
      </c>
      <c r="L806" s="9">
        <f t="array" ref="L806">QUARTILE(IF($F$3:$F$1460=$F806,$H$3:$H$1460),2)</f>
        <v>991</v>
      </c>
      <c r="M806" s="9">
        <f t="array" ref="M806">QUARTILE(IF($F$3:$F$1460=$F806,$H$3:$H$1460),3)</f>
        <v>1485.8333333333335</v>
      </c>
    </row>
    <row r="807" spans="1:13" x14ac:dyDescent="0.25">
      <c r="A807" s="7">
        <v>807</v>
      </c>
      <c r="B807" s="6" t="s">
        <v>716</v>
      </c>
      <c r="C807" s="7">
        <v>5300966</v>
      </c>
      <c r="D807" s="23" t="s">
        <v>717</v>
      </c>
      <c r="E807" s="6" t="s">
        <v>718</v>
      </c>
      <c r="F807" s="21" t="s">
        <v>60</v>
      </c>
      <c r="G807" s="45" t="s">
        <v>749</v>
      </c>
      <c r="H807" s="22">
        <f>404/1.2</f>
        <v>336.66666666666669</v>
      </c>
      <c r="I807" s="9">
        <v>210</v>
      </c>
      <c r="J807" s="22">
        <f t="shared" si="8"/>
        <v>70700</v>
      </c>
      <c r="K807" s="9">
        <f t="array" ref="K807">QUARTILE(IF($F$3:$F$1460=$F807,$H$3:$H$1460),1)</f>
        <v>680</v>
      </c>
      <c r="L807" s="9">
        <f t="array" ref="L807">QUARTILE(IF($F$3:$F$1460=$F807,$H$3:$H$1460),2)</f>
        <v>991</v>
      </c>
      <c r="M807" s="9">
        <f t="array" ref="M807">QUARTILE(IF($F$3:$F$1460=$F807,$H$3:$H$1460),3)</f>
        <v>1485.8333333333335</v>
      </c>
    </row>
    <row r="808" spans="1:13" ht="32.25" customHeight="1" x14ac:dyDescent="0.25">
      <c r="A808" s="7">
        <v>808</v>
      </c>
      <c r="B808" s="6" t="s">
        <v>716</v>
      </c>
      <c r="C808" s="7">
        <v>5300966</v>
      </c>
      <c r="D808" s="23" t="s">
        <v>717</v>
      </c>
      <c r="E808" s="6" t="s">
        <v>718</v>
      </c>
      <c r="F808" s="21" t="s">
        <v>60</v>
      </c>
      <c r="G808" s="45" t="s">
        <v>750</v>
      </c>
      <c r="H808" s="22">
        <f>827/1.2</f>
        <v>689.16666666666674</v>
      </c>
      <c r="I808" s="9">
        <v>190</v>
      </c>
      <c r="J808" s="22">
        <f t="shared" si="8"/>
        <v>130941.66666666669</v>
      </c>
      <c r="K808" s="9">
        <f t="array" ref="K808">QUARTILE(IF($F$3:$F$1460=$F808,$H$3:$H$1460),1)</f>
        <v>680</v>
      </c>
      <c r="L808" s="9">
        <f t="array" ref="L808">QUARTILE(IF($F$3:$F$1460=$F808,$H$3:$H$1460),2)</f>
        <v>991</v>
      </c>
      <c r="M808" s="9">
        <f t="array" ref="M808">QUARTILE(IF($F$3:$F$1460=$F808,$H$3:$H$1460),3)</f>
        <v>1485.8333333333335</v>
      </c>
    </row>
    <row r="809" spans="1:13" ht="16.5" customHeight="1" x14ac:dyDescent="0.25">
      <c r="A809" s="7">
        <v>809</v>
      </c>
      <c r="B809" s="6" t="s">
        <v>716</v>
      </c>
      <c r="C809" s="7">
        <v>5300966</v>
      </c>
      <c r="D809" s="23" t="s">
        <v>717</v>
      </c>
      <c r="E809" s="6" t="s">
        <v>718</v>
      </c>
      <c r="F809" s="21" t="s">
        <v>60</v>
      </c>
      <c r="G809" s="45" t="s">
        <v>751</v>
      </c>
      <c r="H809" s="22">
        <f>660/1.2</f>
        <v>550</v>
      </c>
      <c r="I809" s="9">
        <v>40</v>
      </c>
      <c r="J809" s="22">
        <f t="shared" si="8"/>
        <v>22000</v>
      </c>
      <c r="K809" s="9">
        <f t="array" ref="K809">QUARTILE(IF($F$3:$F$1460=$F809,$H$3:$H$1460),1)</f>
        <v>680</v>
      </c>
      <c r="L809" s="9">
        <f t="array" ref="L809">QUARTILE(IF($F$3:$F$1460=$F809,$H$3:$H$1460),2)</f>
        <v>991</v>
      </c>
      <c r="M809" s="9">
        <f t="array" ref="M809">QUARTILE(IF($F$3:$F$1460=$F809,$H$3:$H$1460),3)</f>
        <v>1485.8333333333335</v>
      </c>
    </row>
    <row r="810" spans="1:13" x14ac:dyDescent="0.25">
      <c r="A810" s="7">
        <v>810</v>
      </c>
      <c r="B810" s="6" t="s">
        <v>716</v>
      </c>
      <c r="C810" s="7">
        <v>5300966</v>
      </c>
      <c r="D810" s="23" t="s">
        <v>717</v>
      </c>
      <c r="E810" s="6" t="s">
        <v>718</v>
      </c>
      <c r="F810" s="21" t="s">
        <v>60</v>
      </c>
      <c r="G810" s="45" t="s">
        <v>752</v>
      </c>
      <c r="H810" s="22">
        <f>739/1.2</f>
        <v>615.83333333333337</v>
      </c>
      <c r="I810" s="9">
        <v>80</v>
      </c>
      <c r="J810" s="22">
        <f t="shared" si="8"/>
        <v>49266.666666666672</v>
      </c>
      <c r="K810" s="9">
        <f t="array" ref="K810">QUARTILE(IF($F$3:$F$1460=$F810,$H$3:$H$1460),1)</f>
        <v>680</v>
      </c>
      <c r="L810" s="9">
        <f t="array" ref="L810">QUARTILE(IF($F$3:$F$1460=$F810,$H$3:$H$1460),2)</f>
        <v>991</v>
      </c>
      <c r="M810" s="9">
        <f t="array" ref="M810">QUARTILE(IF($F$3:$F$1460=$F810,$H$3:$H$1460),3)</f>
        <v>1485.8333333333335</v>
      </c>
    </row>
    <row r="811" spans="1:13" x14ac:dyDescent="0.25">
      <c r="A811" s="7">
        <v>811</v>
      </c>
      <c r="B811" s="6" t="s">
        <v>716</v>
      </c>
      <c r="C811" s="7">
        <v>5300966</v>
      </c>
      <c r="D811" s="23" t="s">
        <v>717</v>
      </c>
      <c r="E811" s="6" t="s">
        <v>718</v>
      </c>
      <c r="F811" s="21" t="s">
        <v>60</v>
      </c>
      <c r="G811" s="45" t="s">
        <v>753</v>
      </c>
      <c r="H811" s="22">
        <f>453/1.2</f>
        <v>377.5</v>
      </c>
      <c r="I811" s="9">
        <v>60</v>
      </c>
      <c r="J811" s="22">
        <f t="shared" si="8"/>
        <v>22650</v>
      </c>
      <c r="K811" s="9">
        <f t="array" ref="K811">QUARTILE(IF($F$3:$F$1460=$F811,$H$3:$H$1460),1)</f>
        <v>680</v>
      </c>
      <c r="L811" s="9">
        <f t="array" ref="L811">QUARTILE(IF($F$3:$F$1460=$F811,$H$3:$H$1460),2)</f>
        <v>991</v>
      </c>
      <c r="M811" s="9">
        <f t="array" ref="M811">QUARTILE(IF($F$3:$F$1460=$F811,$H$3:$H$1460),3)</f>
        <v>1485.8333333333335</v>
      </c>
    </row>
    <row r="812" spans="1:13" x14ac:dyDescent="0.25">
      <c r="A812" s="7">
        <v>812</v>
      </c>
      <c r="B812" s="6" t="s">
        <v>716</v>
      </c>
      <c r="C812" s="7">
        <v>5300966</v>
      </c>
      <c r="D812" s="23" t="s">
        <v>717</v>
      </c>
      <c r="E812" s="6" t="s">
        <v>718</v>
      </c>
      <c r="F812" s="21" t="s">
        <v>60</v>
      </c>
      <c r="G812" s="45" t="s">
        <v>754</v>
      </c>
      <c r="H812" s="22">
        <f>630/1.2</f>
        <v>525</v>
      </c>
      <c r="I812" s="9">
        <v>60</v>
      </c>
      <c r="J812" s="22">
        <f t="shared" si="8"/>
        <v>31500</v>
      </c>
      <c r="K812" s="9">
        <f t="array" ref="K812">QUARTILE(IF($F$3:$F$1460=$F812,$H$3:$H$1460),1)</f>
        <v>680</v>
      </c>
      <c r="L812" s="9">
        <f t="array" ref="L812">QUARTILE(IF($F$3:$F$1460=$F812,$H$3:$H$1460),2)</f>
        <v>991</v>
      </c>
      <c r="M812" s="9">
        <f t="array" ref="M812">QUARTILE(IF($F$3:$F$1460=$F812,$H$3:$H$1460),3)</f>
        <v>1485.8333333333335</v>
      </c>
    </row>
    <row r="813" spans="1:13" x14ac:dyDescent="0.25">
      <c r="A813" s="7">
        <v>813</v>
      </c>
      <c r="B813" s="6" t="s">
        <v>716</v>
      </c>
      <c r="C813" s="7">
        <v>5300966</v>
      </c>
      <c r="D813" s="23" t="s">
        <v>717</v>
      </c>
      <c r="E813" s="6" t="s">
        <v>718</v>
      </c>
      <c r="F813" s="21" t="s">
        <v>60</v>
      </c>
      <c r="G813" s="45" t="s">
        <v>755</v>
      </c>
      <c r="H813" s="22">
        <f>1665/1.2</f>
        <v>1387.5</v>
      </c>
      <c r="I813" s="9">
        <v>65</v>
      </c>
      <c r="J813" s="22">
        <f t="shared" si="8"/>
        <v>90187.5</v>
      </c>
      <c r="K813" s="9">
        <f t="array" ref="K813">QUARTILE(IF($F$3:$F$1460=$F813,$H$3:$H$1460),1)</f>
        <v>680</v>
      </c>
      <c r="L813" s="9">
        <f t="array" ref="L813">QUARTILE(IF($F$3:$F$1460=$F813,$H$3:$H$1460),2)</f>
        <v>991</v>
      </c>
      <c r="M813" s="9">
        <f t="array" ref="M813">QUARTILE(IF($F$3:$F$1460=$F813,$H$3:$H$1460),3)</f>
        <v>1485.8333333333335</v>
      </c>
    </row>
    <row r="814" spans="1:13" ht="15" customHeight="1" x14ac:dyDescent="0.25">
      <c r="A814" s="7">
        <v>814</v>
      </c>
      <c r="B814" s="6" t="s">
        <v>716</v>
      </c>
      <c r="C814" s="7">
        <v>5300966</v>
      </c>
      <c r="D814" s="23" t="s">
        <v>717</v>
      </c>
      <c r="E814" s="6" t="s">
        <v>718</v>
      </c>
      <c r="F814" s="21" t="s">
        <v>60</v>
      </c>
      <c r="G814" s="45" t="s">
        <v>756</v>
      </c>
      <c r="H814" s="22">
        <f>995/1.2</f>
        <v>829.16666666666674</v>
      </c>
      <c r="I814" s="9">
        <v>180</v>
      </c>
      <c r="J814" s="22">
        <f t="shared" si="8"/>
        <v>149250</v>
      </c>
      <c r="K814" s="9">
        <f t="array" ref="K814">QUARTILE(IF($F$3:$F$1460=$F814,$H$3:$H$1460),1)</f>
        <v>680</v>
      </c>
      <c r="L814" s="9">
        <f t="array" ref="L814">QUARTILE(IF($F$3:$F$1460=$F814,$H$3:$H$1460),2)</f>
        <v>991</v>
      </c>
      <c r="M814" s="9">
        <f t="array" ref="M814">QUARTILE(IF($F$3:$F$1460=$F814,$H$3:$H$1460),3)</f>
        <v>1485.8333333333335</v>
      </c>
    </row>
    <row r="815" spans="1:13" x14ac:dyDescent="0.25">
      <c r="A815" s="7">
        <v>815</v>
      </c>
      <c r="B815" s="6" t="s">
        <v>716</v>
      </c>
      <c r="C815" s="7">
        <v>5300966</v>
      </c>
      <c r="D815" s="23" t="s">
        <v>717</v>
      </c>
      <c r="E815" s="6" t="s">
        <v>718</v>
      </c>
      <c r="F815" s="21" t="s">
        <v>60</v>
      </c>
      <c r="G815" s="45" t="s">
        <v>757</v>
      </c>
      <c r="H815" s="22">
        <f>5794/1.2</f>
        <v>4828.3333333333339</v>
      </c>
      <c r="I815" s="9">
        <v>26</v>
      </c>
      <c r="J815" s="22">
        <f t="shared" si="8"/>
        <v>125536.66666666669</v>
      </c>
      <c r="K815" s="9">
        <f t="array" ref="K815">QUARTILE(IF($F$3:$F$1460=$F815,$H$3:$H$1460),1)</f>
        <v>680</v>
      </c>
      <c r="L815" s="9">
        <f t="array" ref="L815">QUARTILE(IF($F$3:$F$1460=$F815,$H$3:$H$1460),2)</f>
        <v>991</v>
      </c>
      <c r="M815" s="9">
        <f t="array" ref="M815">QUARTILE(IF($F$3:$F$1460=$F815,$H$3:$H$1460),3)</f>
        <v>1485.8333333333335</v>
      </c>
    </row>
    <row r="816" spans="1:13" ht="31.5" customHeight="1" x14ac:dyDescent="0.25">
      <c r="A816" s="7">
        <v>816</v>
      </c>
      <c r="B816" s="6" t="s">
        <v>716</v>
      </c>
      <c r="C816" s="7">
        <v>5300966</v>
      </c>
      <c r="D816" s="23" t="s">
        <v>717</v>
      </c>
      <c r="E816" s="6" t="s">
        <v>718</v>
      </c>
      <c r="F816" s="21" t="s">
        <v>60</v>
      </c>
      <c r="G816" s="45" t="s">
        <v>758</v>
      </c>
      <c r="H816" s="22">
        <f>1783/1.2</f>
        <v>1485.8333333333335</v>
      </c>
      <c r="I816" s="9">
        <v>28</v>
      </c>
      <c r="J816" s="22">
        <f t="shared" si="8"/>
        <v>41603.333333333336</v>
      </c>
      <c r="K816" s="9">
        <f t="array" ref="K816">QUARTILE(IF($F$3:$F$1460=$F816,$H$3:$H$1460),1)</f>
        <v>680</v>
      </c>
      <c r="L816" s="9">
        <f t="array" ref="L816">QUARTILE(IF($F$3:$F$1460=$F816,$H$3:$H$1460),2)</f>
        <v>991</v>
      </c>
      <c r="M816" s="9">
        <f t="array" ref="M816">QUARTILE(IF($F$3:$F$1460=$F816,$H$3:$H$1460),3)</f>
        <v>1485.8333333333335</v>
      </c>
    </row>
    <row r="817" spans="1:13" x14ac:dyDescent="0.25">
      <c r="A817" s="7">
        <v>817</v>
      </c>
      <c r="B817" s="6" t="s">
        <v>716</v>
      </c>
      <c r="C817" s="7">
        <v>5300966</v>
      </c>
      <c r="D817" s="23" t="s">
        <v>717</v>
      </c>
      <c r="E817" s="6" t="s">
        <v>718</v>
      </c>
      <c r="F817" s="21" t="s">
        <v>60</v>
      </c>
      <c r="G817" s="45" t="s">
        <v>759</v>
      </c>
      <c r="H817" s="22">
        <f>2956/1.2</f>
        <v>2463.3333333333335</v>
      </c>
      <c r="I817" s="9">
        <v>27</v>
      </c>
      <c r="J817" s="22">
        <f t="shared" si="8"/>
        <v>66510</v>
      </c>
      <c r="K817" s="9">
        <f t="array" ref="K817">QUARTILE(IF($F$3:$F$1460=$F817,$H$3:$H$1460),1)</f>
        <v>680</v>
      </c>
      <c r="L817" s="9">
        <f t="array" ref="L817">QUARTILE(IF($F$3:$F$1460=$F817,$H$3:$H$1460),2)</f>
        <v>991</v>
      </c>
      <c r="M817" s="9">
        <f t="array" ref="M817">QUARTILE(IF($F$3:$F$1460=$F817,$H$3:$H$1460),3)</f>
        <v>1485.8333333333335</v>
      </c>
    </row>
    <row r="818" spans="1:13" x14ac:dyDescent="0.25">
      <c r="A818" s="7">
        <v>818</v>
      </c>
      <c r="B818" s="6" t="s">
        <v>716</v>
      </c>
      <c r="C818" s="7">
        <v>5300966</v>
      </c>
      <c r="D818" s="23" t="s">
        <v>717</v>
      </c>
      <c r="E818" s="6" t="s">
        <v>718</v>
      </c>
      <c r="F818" s="21" t="s">
        <v>44</v>
      </c>
      <c r="G818" s="45" t="s">
        <v>760</v>
      </c>
      <c r="H818" s="22">
        <f>123/1.2</f>
        <v>102.5</v>
      </c>
      <c r="I818" s="9">
        <v>240</v>
      </c>
      <c r="J818" s="22">
        <f t="shared" si="8"/>
        <v>24600</v>
      </c>
      <c r="K818" s="9">
        <f t="array" ref="K818">QUARTILE(IF($F$3:$F$1460=$F818,$H$3:$H$1460),1)</f>
        <v>141.67500000000001</v>
      </c>
      <c r="L818" s="9">
        <f t="array" ref="L818">QUARTILE(IF($F$3:$F$1460=$F818,$H$3:$H$1460),2)</f>
        <v>194</v>
      </c>
      <c r="M818" s="9">
        <f t="array" ref="M818">QUARTILE(IF($F$3:$F$1460=$F818,$H$3:$H$1460),3)</f>
        <v>266.75</v>
      </c>
    </row>
    <row r="819" spans="1:13" x14ac:dyDescent="0.25">
      <c r="A819" s="7">
        <v>819</v>
      </c>
      <c r="B819" s="6" t="s">
        <v>716</v>
      </c>
      <c r="C819" s="7">
        <v>5300966</v>
      </c>
      <c r="D819" s="23" t="s">
        <v>717</v>
      </c>
      <c r="E819" s="6" t="s">
        <v>718</v>
      </c>
      <c r="F819" s="21" t="s">
        <v>44</v>
      </c>
      <c r="G819" s="45" t="s">
        <v>761</v>
      </c>
      <c r="H819" s="22">
        <f>73/1.2</f>
        <v>60.833333333333336</v>
      </c>
      <c r="I819" s="9">
        <v>210</v>
      </c>
      <c r="J819" s="22">
        <f t="shared" si="8"/>
        <v>12775</v>
      </c>
      <c r="K819" s="9">
        <f t="array" ref="K819">QUARTILE(IF($F$3:$F$1460=$F819,$H$3:$H$1460),1)</f>
        <v>141.67500000000001</v>
      </c>
      <c r="L819" s="9">
        <f t="array" ref="L819">QUARTILE(IF($F$3:$F$1460=$F819,$H$3:$H$1460),2)</f>
        <v>194</v>
      </c>
      <c r="M819" s="9">
        <f t="array" ref="M819">QUARTILE(IF($F$3:$F$1460=$F819,$H$3:$H$1460),3)</f>
        <v>266.75</v>
      </c>
    </row>
    <row r="820" spans="1:13" x14ac:dyDescent="0.25">
      <c r="A820" s="7">
        <v>820</v>
      </c>
      <c r="B820" s="6" t="s">
        <v>716</v>
      </c>
      <c r="C820" s="7">
        <v>5300966</v>
      </c>
      <c r="D820" s="23" t="s">
        <v>717</v>
      </c>
      <c r="E820" s="6" t="s">
        <v>718</v>
      </c>
      <c r="F820" s="21" t="s">
        <v>44</v>
      </c>
      <c r="G820" s="45" t="s">
        <v>762</v>
      </c>
      <c r="H820" s="22">
        <f>128/1.2</f>
        <v>106.66666666666667</v>
      </c>
      <c r="I820" s="9">
        <v>50</v>
      </c>
      <c r="J820" s="22">
        <f t="shared" si="8"/>
        <v>5333.3333333333339</v>
      </c>
      <c r="K820" s="9">
        <f t="array" ref="K820">QUARTILE(IF($F$3:$F$1460=$F820,$H$3:$H$1460),1)</f>
        <v>141.67500000000001</v>
      </c>
      <c r="L820" s="9">
        <f t="array" ref="L820">QUARTILE(IF($F$3:$F$1460=$F820,$H$3:$H$1460),2)</f>
        <v>194</v>
      </c>
      <c r="M820" s="9">
        <f t="array" ref="M820">QUARTILE(IF($F$3:$F$1460=$F820,$H$3:$H$1460),3)</f>
        <v>266.75</v>
      </c>
    </row>
    <row r="821" spans="1:13" x14ac:dyDescent="0.25">
      <c r="A821" s="7">
        <v>821</v>
      </c>
      <c r="B821" s="6" t="s">
        <v>716</v>
      </c>
      <c r="C821" s="7">
        <v>5300966</v>
      </c>
      <c r="D821" s="23" t="s">
        <v>717</v>
      </c>
      <c r="E821" s="6" t="s">
        <v>718</v>
      </c>
      <c r="F821" s="21" t="s">
        <v>44</v>
      </c>
      <c r="G821" s="45" t="s">
        <v>763</v>
      </c>
      <c r="H821" s="22">
        <f>221/1.2</f>
        <v>184.16666666666669</v>
      </c>
      <c r="I821" s="9">
        <v>60</v>
      </c>
      <c r="J821" s="22">
        <f t="shared" si="8"/>
        <v>11050.000000000002</v>
      </c>
      <c r="K821" s="9">
        <f t="array" ref="K821">QUARTILE(IF($F$3:$F$1460=$F821,$H$3:$H$1460),1)</f>
        <v>141.67500000000001</v>
      </c>
      <c r="L821" s="9">
        <f t="array" ref="L821">QUARTILE(IF($F$3:$F$1460=$F821,$H$3:$H$1460),2)</f>
        <v>194</v>
      </c>
      <c r="M821" s="9">
        <f t="array" ref="M821">QUARTILE(IF($F$3:$F$1460=$F821,$H$3:$H$1460),3)</f>
        <v>266.75</v>
      </c>
    </row>
    <row r="822" spans="1:13" x14ac:dyDescent="0.25">
      <c r="A822" s="7">
        <v>822</v>
      </c>
      <c r="B822" s="6" t="s">
        <v>716</v>
      </c>
      <c r="C822" s="7">
        <v>5300966</v>
      </c>
      <c r="D822" s="23" t="s">
        <v>717</v>
      </c>
      <c r="E822" s="6" t="s">
        <v>718</v>
      </c>
      <c r="F822" s="21" t="s">
        <v>44</v>
      </c>
      <c r="G822" s="45" t="s">
        <v>764</v>
      </c>
      <c r="H822" s="22">
        <f>305/1.2</f>
        <v>254.16666666666669</v>
      </c>
      <c r="I822" s="9">
        <v>60</v>
      </c>
      <c r="J822" s="22">
        <f t="shared" si="8"/>
        <v>15250.000000000002</v>
      </c>
      <c r="K822" s="9">
        <f t="array" ref="K822">QUARTILE(IF($F$3:$F$1460=$F822,$H$3:$H$1460),1)</f>
        <v>141.67500000000001</v>
      </c>
      <c r="L822" s="9">
        <f t="array" ref="L822">QUARTILE(IF($F$3:$F$1460=$F822,$H$3:$H$1460),2)</f>
        <v>194</v>
      </c>
      <c r="M822" s="9">
        <f t="array" ref="M822">QUARTILE(IF($F$3:$F$1460=$F822,$H$3:$H$1460),3)</f>
        <v>266.75</v>
      </c>
    </row>
    <row r="823" spans="1:13" x14ac:dyDescent="0.25">
      <c r="A823" s="7">
        <v>823</v>
      </c>
      <c r="B823" s="6" t="s">
        <v>716</v>
      </c>
      <c r="C823" s="7">
        <v>5300966</v>
      </c>
      <c r="D823" s="23" t="s">
        <v>717</v>
      </c>
      <c r="E823" s="6" t="s">
        <v>718</v>
      </c>
      <c r="F823" s="21" t="s">
        <v>44</v>
      </c>
      <c r="G823" s="45" t="s">
        <v>765</v>
      </c>
      <c r="H823" s="22">
        <f>443/1.2</f>
        <v>369.16666666666669</v>
      </c>
      <c r="I823" s="9">
        <v>16</v>
      </c>
      <c r="J823" s="22">
        <f t="shared" si="8"/>
        <v>5906.666666666667</v>
      </c>
      <c r="K823" s="9">
        <f t="array" ref="K823">QUARTILE(IF($F$3:$F$1460=$F823,$H$3:$H$1460),1)</f>
        <v>141.67500000000001</v>
      </c>
      <c r="L823" s="9">
        <f t="array" ref="L823">QUARTILE(IF($F$3:$F$1460=$F823,$H$3:$H$1460),2)</f>
        <v>194</v>
      </c>
      <c r="M823" s="9">
        <f t="array" ref="M823">QUARTILE(IF($F$3:$F$1460=$F823,$H$3:$H$1460),3)</f>
        <v>266.75</v>
      </c>
    </row>
    <row r="824" spans="1:13" x14ac:dyDescent="0.25">
      <c r="A824" s="7">
        <v>824</v>
      </c>
      <c r="B824" s="6" t="s">
        <v>716</v>
      </c>
      <c r="C824" s="7">
        <v>5300966</v>
      </c>
      <c r="D824" s="23" t="s">
        <v>717</v>
      </c>
      <c r="E824" s="6" t="s">
        <v>718</v>
      </c>
      <c r="F824" s="21" t="s">
        <v>75</v>
      </c>
      <c r="G824" s="45" t="s">
        <v>766</v>
      </c>
      <c r="H824" s="22">
        <f>2059/1.2</f>
        <v>1715.8333333333335</v>
      </c>
      <c r="I824" s="9">
        <v>20</v>
      </c>
      <c r="J824" s="22">
        <f t="shared" si="8"/>
        <v>34316.666666666672</v>
      </c>
      <c r="K824" s="9">
        <f t="array" ref="K824">QUARTILE(IF($F$3:$F$1460=$F824,$H$3:$H$1460),1)</f>
        <v>7209.15</v>
      </c>
      <c r="L824" s="9">
        <f t="array" ref="L824">QUARTILE(IF($F$3:$F$1460=$F824,$H$3:$H$1460),2)</f>
        <v>15534.78</v>
      </c>
      <c r="M824" s="9">
        <f t="array" ref="M824">QUARTILE(IF($F$3:$F$1460=$F824,$H$3:$H$1460),3)</f>
        <v>29950.799999999999</v>
      </c>
    </row>
    <row r="825" spans="1:13" x14ac:dyDescent="0.25">
      <c r="A825" s="7">
        <v>825</v>
      </c>
      <c r="B825" s="6" t="s">
        <v>716</v>
      </c>
      <c r="C825" s="7">
        <v>5300966</v>
      </c>
      <c r="D825" s="23" t="s">
        <v>717</v>
      </c>
      <c r="E825" s="6" t="s">
        <v>718</v>
      </c>
      <c r="F825" s="21" t="s">
        <v>75</v>
      </c>
      <c r="G825" s="45" t="s">
        <v>767</v>
      </c>
      <c r="H825" s="22">
        <f>2631/1.2</f>
        <v>2192.5</v>
      </c>
      <c r="I825" s="9">
        <v>20</v>
      </c>
      <c r="J825" s="22">
        <f t="shared" si="8"/>
        <v>43850</v>
      </c>
      <c r="K825" s="9">
        <f t="array" ref="K825">QUARTILE(IF($F$3:$F$1460=$F825,$H$3:$H$1460),1)</f>
        <v>7209.15</v>
      </c>
      <c r="L825" s="9">
        <f t="array" ref="L825">QUARTILE(IF($F$3:$F$1460=$F825,$H$3:$H$1460),2)</f>
        <v>15534.78</v>
      </c>
      <c r="M825" s="9">
        <f t="array" ref="M825">QUARTILE(IF($F$3:$F$1460=$F825,$H$3:$H$1460),3)</f>
        <v>29950.799999999999</v>
      </c>
    </row>
    <row r="826" spans="1:13" x14ac:dyDescent="0.25">
      <c r="A826" s="7">
        <v>826</v>
      </c>
      <c r="B826" s="6" t="s">
        <v>716</v>
      </c>
      <c r="C826" s="7">
        <v>5300966</v>
      </c>
      <c r="D826" s="23" t="s">
        <v>717</v>
      </c>
      <c r="E826" s="6" t="s">
        <v>718</v>
      </c>
      <c r="F826" s="21" t="s">
        <v>75</v>
      </c>
      <c r="G826" s="45" t="s">
        <v>768</v>
      </c>
      <c r="H826" s="22">
        <f>3104/1.2</f>
        <v>2586.666666666667</v>
      </c>
      <c r="I826" s="9">
        <v>30</v>
      </c>
      <c r="J826" s="22">
        <f t="shared" si="8"/>
        <v>77600.000000000015</v>
      </c>
      <c r="K826" s="9">
        <f t="array" ref="K826">QUARTILE(IF($F$3:$F$1460=$F826,$H$3:$H$1460),1)</f>
        <v>7209.15</v>
      </c>
      <c r="L826" s="9">
        <f t="array" ref="L826">QUARTILE(IF($F$3:$F$1460=$F826,$H$3:$H$1460),2)</f>
        <v>15534.78</v>
      </c>
      <c r="M826" s="9">
        <f t="array" ref="M826">QUARTILE(IF($F$3:$F$1460=$F826,$H$3:$H$1460),3)</f>
        <v>29950.799999999999</v>
      </c>
    </row>
    <row r="827" spans="1:13" x14ac:dyDescent="0.25">
      <c r="A827" s="7">
        <v>827</v>
      </c>
      <c r="B827" s="6" t="s">
        <v>716</v>
      </c>
      <c r="C827" s="7">
        <v>5300966</v>
      </c>
      <c r="D827" s="23" t="s">
        <v>717</v>
      </c>
      <c r="E827" s="6" t="s">
        <v>718</v>
      </c>
      <c r="F827" s="21" t="s">
        <v>75</v>
      </c>
      <c r="G827" s="45" t="s">
        <v>769</v>
      </c>
      <c r="H827" s="22">
        <f>4434/1.2</f>
        <v>3695</v>
      </c>
      <c r="I827" s="9">
        <v>17</v>
      </c>
      <c r="J827" s="22">
        <f t="shared" si="8"/>
        <v>62815</v>
      </c>
      <c r="K827" s="9">
        <f t="array" ref="K827">QUARTILE(IF($F$3:$F$1460=$F827,$H$3:$H$1460),1)</f>
        <v>7209.15</v>
      </c>
      <c r="L827" s="9">
        <f t="array" ref="L827">QUARTILE(IF($F$3:$F$1460=$F827,$H$3:$H$1460),2)</f>
        <v>15534.78</v>
      </c>
      <c r="M827" s="9">
        <f t="array" ref="M827">QUARTILE(IF($F$3:$F$1460=$F827,$H$3:$H$1460),3)</f>
        <v>29950.799999999999</v>
      </c>
    </row>
    <row r="828" spans="1:13" x14ac:dyDescent="0.25">
      <c r="A828" s="7">
        <v>828</v>
      </c>
      <c r="B828" s="6" t="s">
        <v>716</v>
      </c>
      <c r="C828" s="7">
        <v>5300966</v>
      </c>
      <c r="D828" s="23" t="s">
        <v>717</v>
      </c>
      <c r="E828" s="6" t="s">
        <v>718</v>
      </c>
      <c r="F828" s="21" t="s">
        <v>75</v>
      </c>
      <c r="G828" s="45" t="s">
        <v>770</v>
      </c>
      <c r="H828" s="22">
        <f>5587/1.2</f>
        <v>4655.8333333333339</v>
      </c>
      <c r="I828" s="9">
        <v>15</v>
      </c>
      <c r="J828" s="22">
        <f t="shared" si="8"/>
        <v>69837.500000000015</v>
      </c>
      <c r="K828" s="9">
        <f t="array" ref="K828">QUARTILE(IF($F$3:$F$1460=$F828,$H$3:$H$1460),1)</f>
        <v>7209.15</v>
      </c>
      <c r="L828" s="9">
        <f t="array" ref="L828">QUARTILE(IF($F$3:$F$1460=$F828,$H$3:$H$1460),2)</f>
        <v>15534.78</v>
      </c>
      <c r="M828" s="9">
        <f t="array" ref="M828">QUARTILE(IF($F$3:$F$1460=$F828,$H$3:$H$1460),3)</f>
        <v>29950.799999999999</v>
      </c>
    </row>
    <row r="829" spans="1:13" x14ac:dyDescent="0.25">
      <c r="A829" s="7">
        <v>829</v>
      </c>
      <c r="B829" s="6" t="s">
        <v>716</v>
      </c>
      <c r="C829" s="7">
        <v>5300966</v>
      </c>
      <c r="D829" s="23" t="s">
        <v>717</v>
      </c>
      <c r="E829" s="6" t="s">
        <v>718</v>
      </c>
      <c r="F829" s="21" t="s">
        <v>75</v>
      </c>
      <c r="G829" s="45" t="s">
        <v>771</v>
      </c>
      <c r="H829" s="22">
        <f>5922/1.2</f>
        <v>4935</v>
      </c>
      <c r="I829" s="9">
        <v>10</v>
      </c>
      <c r="J829" s="22">
        <f t="shared" si="8"/>
        <v>49350</v>
      </c>
      <c r="K829" s="9">
        <f t="array" ref="K829">QUARTILE(IF($F$3:$F$1460=$F829,$H$3:$H$1460),1)</f>
        <v>7209.15</v>
      </c>
      <c r="L829" s="9">
        <f t="array" ref="L829">QUARTILE(IF($F$3:$F$1460=$F829,$H$3:$H$1460),2)</f>
        <v>15534.78</v>
      </c>
      <c r="M829" s="9">
        <f t="array" ref="M829">QUARTILE(IF($F$3:$F$1460=$F829,$H$3:$H$1460),3)</f>
        <v>29950.799999999999</v>
      </c>
    </row>
    <row r="830" spans="1:13" x14ac:dyDescent="0.25">
      <c r="A830" s="7">
        <v>830</v>
      </c>
      <c r="B830" s="6" t="s">
        <v>716</v>
      </c>
      <c r="C830" s="7">
        <v>5300966</v>
      </c>
      <c r="D830" s="23" t="s">
        <v>717</v>
      </c>
      <c r="E830" s="6" t="s">
        <v>718</v>
      </c>
      <c r="F830" s="21" t="s">
        <v>75</v>
      </c>
      <c r="G830" s="45" t="s">
        <v>772</v>
      </c>
      <c r="H830" s="22">
        <f>6031/1.2</f>
        <v>5025.8333333333339</v>
      </c>
      <c r="I830" s="9">
        <v>18</v>
      </c>
      <c r="J830" s="22">
        <f t="shared" si="8"/>
        <v>90465.000000000015</v>
      </c>
      <c r="K830" s="9">
        <f t="array" ref="K830">QUARTILE(IF($F$3:$F$1460=$F830,$H$3:$H$1460),1)</f>
        <v>7209.15</v>
      </c>
      <c r="L830" s="9">
        <f t="array" ref="L830">QUARTILE(IF($F$3:$F$1460=$F830,$H$3:$H$1460),2)</f>
        <v>15534.78</v>
      </c>
      <c r="M830" s="9">
        <f t="array" ref="M830">QUARTILE(IF($F$3:$F$1460=$F830,$H$3:$H$1460),3)</f>
        <v>29950.799999999999</v>
      </c>
    </row>
    <row r="831" spans="1:13" x14ac:dyDescent="0.25">
      <c r="A831" s="7">
        <v>831</v>
      </c>
      <c r="B831" s="6" t="s">
        <v>716</v>
      </c>
      <c r="C831" s="7">
        <v>5300966</v>
      </c>
      <c r="D831" s="23" t="s">
        <v>717</v>
      </c>
      <c r="E831" s="6" t="s">
        <v>718</v>
      </c>
      <c r="F831" s="21" t="s">
        <v>75</v>
      </c>
      <c r="G831" s="45" t="s">
        <v>773</v>
      </c>
      <c r="H831" s="22">
        <f>17403/1.2</f>
        <v>14502.5</v>
      </c>
      <c r="I831" s="9">
        <v>18</v>
      </c>
      <c r="J831" s="22">
        <f t="shared" si="8"/>
        <v>261045</v>
      </c>
      <c r="K831" s="9">
        <f t="array" ref="K831">QUARTILE(IF($F$3:$F$1460=$F831,$H$3:$H$1460),1)</f>
        <v>7209.15</v>
      </c>
      <c r="L831" s="9">
        <f t="array" ref="L831">QUARTILE(IF($F$3:$F$1460=$F831,$H$3:$H$1460),2)</f>
        <v>15534.78</v>
      </c>
      <c r="M831" s="9">
        <f t="array" ref="M831">QUARTILE(IF($F$3:$F$1460=$F831,$H$3:$H$1460),3)</f>
        <v>29950.799999999999</v>
      </c>
    </row>
    <row r="832" spans="1:13" x14ac:dyDescent="0.25">
      <c r="A832" s="7">
        <v>832</v>
      </c>
      <c r="B832" s="6" t="s">
        <v>716</v>
      </c>
      <c r="C832" s="7">
        <v>5300966</v>
      </c>
      <c r="D832" s="23" t="s">
        <v>717</v>
      </c>
      <c r="E832" s="6" t="s">
        <v>718</v>
      </c>
      <c r="F832" s="21" t="s">
        <v>62</v>
      </c>
      <c r="G832" s="30" t="s">
        <v>774</v>
      </c>
      <c r="H832" s="22">
        <f>408/1.2</f>
        <v>340</v>
      </c>
      <c r="I832" s="9">
        <v>60</v>
      </c>
      <c r="J832" s="22">
        <f t="shared" si="8"/>
        <v>20400</v>
      </c>
      <c r="K832" s="9">
        <f t="array" ref="K832">QUARTILE(IF($F$3:$F$1460=$F832,$H$3:$H$1460),1)</f>
        <v>783.15</v>
      </c>
      <c r="L832" s="9">
        <f t="array" ref="L832">QUARTILE(IF($F$3:$F$1460=$F832,$H$3:$H$1460),2)</f>
        <v>1196.3</v>
      </c>
      <c r="M832" s="9">
        <f t="array" ref="M832">QUARTILE(IF($F$3:$F$1460=$F832,$H$3:$H$1460),3)</f>
        <v>1455.5</v>
      </c>
    </row>
    <row r="833" spans="1:13" x14ac:dyDescent="0.25">
      <c r="A833" s="7">
        <v>833</v>
      </c>
      <c r="B833" s="6" t="s">
        <v>716</v>
      </c>
      <c r="C833" s="7">
        <v>5300966</v>
      </c>
      <c r="D833" s="23" t="s">
        <v>717</v>
      </c>
      <c r="E833" s="6" t="s">
        <v>718</v>
      </c>
      <c r="F833" s="21" t="s">
        <v>62</v>
      </c>
      <c r="G833" s="30" t="s">
        <v>775</v>
      </c>
      <c r="H833" s="22">
        <f>H832</f>
        <v>340</v>
      </c>
      <c r="I833" s="9">
        <v>60</v>
      </c>
      <c r="J833" s="22">
        <f t="shared" si="8"/>
        <v>20400</v>
      </c>
      <c r="K833" s="9">
        <f t="array" ref="K833">QUARTILE(IF($F$3:$F$1460=$F833,$H$3:$H$1460),1)</f>
        <v>783.15</v>
      </c>
      <c r="L833" s="9">
        <f t="array" ref="L833">QUARTILE(IF($F$3:$F$1460=$F833,$H$3:$H$1460),2)</f>
        <v>1196.3</v>
      </c>
      <c r="M833" s="9">
        <f t="array" ref="M833">QUARTILE(IF($F$3:$F$1460=$F833,$H$3:$H$1460),3)</f>
        <v>1455.5</v>
      </c>
    </row>
    <row r="834" spans="1:13" x14ac:dyDescent="0.25">
      <c r="A834" s="7">
        <v>834</v>
      </c>
      <c r="B834" s="6" t="s">
        <v>716</v>
      </c>
      <c r="C834" s="7">
        <v>5300966</v>
      </c>
      <c r="D834" s="23" t="s">
        <v>717</v>
      </c>
      <c r="E834" s="6" t="s">
        <v>718</v>
      </c>
      <c r="F834" s="21" t="s">
        <v>62</v>
      </c>
      <c r="G834" s="30" t="s">
        <v>776</v>
      </c>
      <c r="H834" s="22">
        <f>581/1.2</f>
        <v>484.16666666666669</v>
      </c>
      <c r="I834" s="9">
        <v>60</v>
      </c>
      <c r="J834" s="22">
        <f t="shared" si="8"/>
        <v>29050</v>
      </c>
      <c r="K834" s="9">
        <f t="array" ref="K834">QUARTILE(IF($F$3:$F$1460=$F834,$H$3:$H$1460),1)</f>
        <v>783.15</v>
      </c>
      <c r="L834" s="9">
        <f t="array" ref="L834">QUARTILE(IF($F$3:$F$1460=$F834,$H$3:$H$1460),2)</f>
        <v>1196.3</v>
      </c>
      <c r="M834" s="9">
        <f t="array" ref="M834">QUARTILE(IF($F$3:$F$1460=$F834,$H$3:$H$1460),3)</f>
        <v>1455.5</v>
      </c>
    </row>
    <row r="835" spans="1:13" x14ac:dyDescent="0.25">
      <c r="A835" s="7">
        <v>835</v>
      </c>
      <c r="B835" s="6" t="s">
        <v>716</v>
      </c>
      <c r="C835" s="7">
        <v>5300966</v>
      </c>
      <c r="D835" s="23" t="s">
        <v>717</v>
      </c>
      <c r="E835" s="6" t="s">
        <v>718</v>
      </c>
      <c r="F835" s="21" t="s">
        <v>62</v>
      </c>
      <c r="G835" s="30" t="s">
        <v>777</v>
      </c>
      <c r="H835" s="22">
        <f>886/1.2</f>
        <v>738.33333333333337</v>
      </c>
      <c r="I835" s="9">
        <v>65</v>
      </c>
      <c r="J835" s="22">
        <f t="shared" si="8"/>
        <v>47991.666666666672</v>
      </c>
      <c r="K835" s="9">
        <f t="array" ref="K835">QUARTILE(IF($F$3:$F$1460=$F835,$H$3:$H$1460),1)</f>
        <v>783.15</v>
      </c>
      <c r="L835" s="9">
        <f t="array" ref="L835">QUARTILE(IF($F$3:$F$1460=$F835,$H$3:$H$1460),2)</f>
        <v>1196.3</v>
      </c>
      <c r="M835" s="9">
        <f t="array" ref="M835">QUARTILE(IF($F$3:$F$1460=$F835,$H$3:$H$1460),3)</f>
        <v>1455.5</v>
      </c>
    </row>
    <row r="836" spans="1:13" x14ac:dyDescent="0.25">
      <c r="A836" s="7">
        <v>836</v>
      </c>
      <c r="B836" s="6" t="s">
        <v>716</v>
      </c>
      <c r="C836" s="7">
        <v>5300966</v>
      </c>
      <c r="D836" s="23" t="s">
        <v>717</v>
      </c>
      <c r="E836" s="6" t="s">
        <v>718</v>
      </c>
      <c r="F836" s="21" t="s">
        <v>62</v>
      </c>
      <c r="G836" s="30" t="s">
        <v>778</v>
      </c>
      <c r="H836" s="22">
        <f>719/1.2</f>
        <v>599.16666666666674</v>
      </c>
      <c r="I836" s="9">
        <v>135</v>
      </c>
      <c r="J836" s="22">
        <f t="shared" si="8"/>
        <v>80887.500000000015</v>
      </c>
      <c r="K836" s="9">
        <f t="array" ref="K836">QUARTILE(IF($F$3:$F$1460=$F836,$H$3:$H$1460),1)</f>
        <v>783.15</v>
      </c>
      <c r="L836" s="9">
        <f t="array" ref="L836">QUARTILE(IF($F$3:$F$1460=$F836,$H$3:$H$1460),2)</f>
        <v>1196.3</v>
      </c>
      <c r="M836" s="9">
        <f t="array" ref="M836">QUARTILE(IF($F$3:$F$1460=$F836,$H$3:$H$1460),3)</f>
        <v>1455.5</v>
      </c>
    </row>
    <row r="837" spans="1:13" x14ac:dyDescent="0.25">
      <c r="A837" s="7">
        <v>837</v>
      </c>
      <c r="B837" s="6" t="s">
        <v>716</v>
      </c>
      <c r="C837" s="7">
        <v>5300966</v>
      </c>
      <c r="D837" s="23" t="s">
        <v>717</v>
      </c>
      <c r="E837" s="6" t="s">
        <v>718</v>
      </c>
      <c r="F837" s="21" t="s">
        <v>62</v>
      </c>
      <c r="G837" s="30" t="s">
        <v>779</v>
      </c>
      <c r="H837" s="22">
        <f>768/1.2</f>
        <v>640</v>
      </c>
      <c r="I837" s="9">
        <v>80</v>
      </c>
      <c r="J837" s="22">
        <f t="shared" si="8"/>
        <v>51200</v>
      </c>
      <c r="K837" s="9">
        <f t="array" ref="K837">QUARTILE(IF($F$3:$F$1460=$F837,$H$3:$H$1460),1)</f>
        <v>783.15</v>
      </c>
      <c r="L837" s="9">
        <f t="array" ref="L837">QUARTILE(IF($F$3:$F$1460=$F837,$H$3:$H$1460),2)</f>
        <v>1196.3</v>
      </c>
      <c r="M837" s="9">
        <f t="array" ref="M837">QUARTILE(IF($F$3:$F$1460=$F837,$H$3:$H$1460),3)</f>
        <v>1455.5</v>
      </c>
    </row>
    <row r="838" spans="1:13" x14ac:dyDescent="0.25">
      <c r="A838" s="7">
        <v>838</v>
      </c>
      <c r="B838" s="6" t="s">
        <v>716</v>
      </c>
      <c r="C838" s="7">
        <v>5300966</v>
      </c>
      <c r="D838" s="23" t="s">
        <v>717</v>
      </c>
      <c r="E838" s="6" t="s">
        <v>718</v>
      </c>
      <c r="F838" s="21" t="s">
        <v>62</v>
      </c>
      <c r="G838" s="30" t="s">
        <v>780</v>
      </c>
      <c r="H838" s="22">
        <f>758/1.2</f>
        <v>631.66666666666674</v>
      </c>
      <c r="I838" s="9">
        <v>65</v>
      </c>
      <c r="J838" s="22">
        <f t="shared" si="8"/>
        <v>41058.333333333336</v>
      </c>
      <c r="K838" s="9">
        <f t="array" ref="K838">QUARTILE(IF($F$3:$F$1460=$F838,$H$3:$H$1460),1)</f>
        <v>783.15</v>
      </c>
      <c r="L838" s="9">
        <f t="array" ref="L838">QUARTILE(IF($F$3:$F$1460=$F838,$H$3:$H$1460),2)</f>
        <v>1196.3</v>
      </c>
      <c r="M838" s="9">
        <f t="array" ref="M838">QUARTILE(IF($F$3:$F$1460=$F838,$H$3:$H$1460),3)</f>
        <v>1455.5</v>
      </c>
    </row>
    <row r="839" spans="1:13" x14ac:dyDescent="0.25">
      <c r="A839" s="7">
        <v>839</v>
      </c>
      <c r="B839" s="6" t="s">
        <v>716</v>
      </c>
      <c r="C839" s="7">
        <v>5300966</v>
      </c>
      <c r="D839" s="23" t="s">
        <v>717</v>
      </c>
      <c r="E839" s="6" t="s">
        <v>718</v>
      </c>
      <c r="F839" s="21" t="s">
        <v>62</v>
      </c>
      <c r="G839" s="30" t="s">
        <v>781</v>
      </c>
      <c r="H839" s="22">
        <f>1044/1.2</f>
        <v>870</v>
      </c>
      <c r="I839" s="9">
        <v>45</v>
      </c>
      <c r="J839" s="22">
        <f t="shared" si="8"/>
        <v>39150</v>
      </c>
      <c r="K839" s="9">
        <f t="array" ref="K839">QUARTILE(IF($F$3:$F$1460=$F839,$H$3:$H$1460),1)</f>
        <v>783.15</v>
      </c>
      <c r="L839" s="9">
        <f t="array" ref="L839">QUARTILE(IF($F$3:$F$1460=$F839,$H$3:$H$1460),2)</f>
        <v>1196.3</v>
      </c>
      <c r="M839" s="9">
        <f t="array" ref="M839">QUARTILE(IF($F$3:$F$1460=$F839,$H$3:$H$1460),3)</f>
        <v>1455.5</v>
      </c>
    </row>
    <row r="840" spans="1:13" x14ac:dyDescent="0.25">
      <c r="A840" s="7">
        <v>840</v>
      </c>
      <c r="B840" s="6" t="s">
        <v>716</v>
      </c>
      <c r="C840" s="7">
        <v>5300966</v>
      </c>
      <c r="D840" s="23" t="s">
        <v>717</v>
      </c>
      <c r="E840" s="6" t="s">
        <v>718</v>
      </c>
      <c r="F840" s="21" t="s">
        <v>62</v>
      </c>
      <c r="G840" s="30" t="s">
        <v>782</v>
      </c>
      <c r="H840" s="22">
        <f>1458/1.2</f>
        <v>1215</v>
      </c>
      <c r="I840" s="9">
        <v>44</v>
      </c>
      <c r="J840" s="22">
        <f t="shared" si="8"/>
        <v>53460</v>
      </c>
      <c r="K840" s="9">
        <f t="array" ref="K840">QUARTILE(IF($F$3:$F$1460=$F840,$H$3:$H$1460),1)</f>
        <v>783.15</v>
      </c>
      <c r="L840" s="9">
        <f t="array" ref="L840">QUARTILE(IF($F$3:$F$1460=$F840,$H$3:$H$1460),2)</f>
        <v>1196.3</v>
      </c>
      <c r="M840" s="9">
        <f t="array" ref="M840">QUARTILE(IF($F$3:$F$1460=$F840,$H$3:$H$1460),3)</f>
        <v>1455.5</v>
      </c>
    </row>
    <row r="841" spans="1:13" x14ac:dyDescent="0.25">
      <c r="A841" s="7">
        <v>841</v>
      </c>
      <c r="B841" s="6" t="s">
        <v>716</v>
      </c>
      <c r="C841" s="7">
        <v>5300966</v>
      </c>
      <c r="D841" s="23" t="s">
        <v>717</v>
      </c>
      <c r="E841" s="6" t="s">
        <v>718</v>
      </c>
      <c r="F841" s="21" t="s">
        <v>62</v>
      </c>
      <c r="G841" s="30" t="s">
        <v>783</v>
      </c>
      <c r="H841" s="22">
        <f>2700/1.2</f>
        <v>2250</v>
      </c>
      <c r="I841" s="9">
        <v>18</v>
      </c>
      <c r="J841" s="22">
        <f t="shared" si="8"/>
        <v>40500</v>
      </c>
      <c r="K841" s="9">
        <f t="array" ref="K841">QUARTILE(IF($F$3:$F$1460=$F841,$H$3:$H$1460),1)</f>
        <v>783.15</v>
      </c>
      <c r="L841" s="9">
        <f t="array" ref="L841">QUARTILE(IF($F$3:$F$1460=$F841,$H$3:$H$1460),2)</f>
        <v>1196.3</v>
      </c>
      <c r="M841" s="9">
        <f t="array" ref="M841">QUARTILE(IF($F$3:$F$1460=$F841,$H$3:$H$1460),3)</f>
        <v>1455.5</v>
      </c>
    </row>
    <row r="842" spans="1:13" x14ac:dyDescent="0.25">
      <c r="A842" s="7">
        <v>842</v>
      </c>
      <c r="B842" s="6" t="s">
        <v>716</v>
      </c>
      <c r="C842" s="7">
        <v>5300966</v>
      </c>
      <c r="D842" s="23" t="s">
        <v>717</v>
      </c>
      <c r="E842" s="6" t="s">
        <v>718</v>
      </c>
      <c r="F842" s="21" t="s">
        <v>65</v>
      </c>
      <c r="G842" s="45" t="s">
        <v>784</v>
      </c>
      <c r="H842" s="22">
        <f>4139/1.2</f>
        <v>3449.166666666667</v>
      </c>
      <c r="I842" s="9">
        <v>2</v>
      </c>
      <c r="J842" s="22">
        <f t="shared" si="8"/>
        <v>6898.3333333333339</v>
      </c>
      <c r="K842" s="9">
        <f t="array" ref="K842">QUARTILE(IF($F$3:$F$1460=$F842,$H$3:$H$1460),1)</f>
        <v>1383.98</v>
      </c>
      <c r="L842" s="9">
        <f t="array" ref="L842">QUARTILE(IF($F$3:$F$1460=$F842,$H$3:$H$1460),2)</f>
        <v>1866.7</v>
      </c>
      <c r="M842" s="9">
        <f t="array" ref="M842">QUARTILE(IF($F$3:$F$1460=$F842,$H$3:$H$1460),3)</f>
        <v>4574.5833333333339</v>
      </c>
    </row>
    <row r="843" spans="1:13" ht="15" customHeight="1" x14ac:dyDescent="0.25">
      <c r="A843" s="7">
        <v>843</v>
      </c>
      <c r="B843" s="6" t="s">
        <v>716</v>
      </c>
      <c r="C843" s="7">
        <v>5300966</v>
      </c>
      <c r="D843" s="23" t="s">
        <v>717</v>
      </c>
      <c r="E843" s="6" t="s">
        <v>718</v>
      </c>
      <c r="F843" s="21" t="s">
        <v>65</v>
      </c>
      <c r="G843" s="45" t="s">
        <v>785</v>
      </c>
      <c r="H843" s="22">
        <f>1626/1.2</f>
        <v>1355</v>
      </c>
      <c r="I843" s="9">
        <v>2</v>
      </c>
      <c r="J843" s="22">
        <f t="shared" si="8"/>
        <v>2710</v>
      </c>
      <c r="K843" s="9">
        <f t="array" ref="K843">QUARTILE(IF($F$3:$F$1460=$F843,$H$3:$H$1460),1)</f>
        <v>1383.98</v>
      </c>
      <c r="L843" s="9">
        <f t="array" ref="L843">QUARTILE(IF($F$3:$F$1460=$F843,$H$3:$H$1460),2)</f>
        <v>1866.7</v>
      </c>
      <c r="M843" s="9">
        <f t="array" ref="M843">QUARTILE(IF($F$3:$F$1460=$F843,$H$3:$H$1460),3)</f>
        <v>4574.5833333333339</v>
      </c>
    </row>
    <row r="844" spans="1:13" x14ac:dyDescent="0.25">
      <c r="A844" s="7">
        <v>844</v>
      </c>
      <c r="B844" s="6" t="s">
        <v>716</v>
      </c>
      <c r="C844" s="7">
        <v>5300966</v>
      </c>
      <c r="D844" s="23" t="s">
        <v>717</v>
      </c>
      <c r="E844" s="6" t="s">
        <v>718</v>
      </c>
      <c r="F844" s="21" t="s">
        <v>46</v>
      </c>
      <c r="G844" s="45" t="s">
        <v>786</v>
      </c>
      <c r="H844" s="22">
        <f>72/1.2</f>
        <v>60</v>
      </c>
      <c r="I844" s="9">
        <v>45</v>
      </c>
      <c r="J844" s="22">
        <f t="shared" si="8"/>
        <v>2700</v>
      </c>
      <c r="K844" s="9">
        <f t="array" ref="K844">QUARTILE(IF($F$3:$F$1460=$F844,$H$3:$H$1460),1)</f>
        <v>229.78</v>
      </c>
      <c r="L844" s="9">
        <f t="array" ref="L844">QUARTILE(IF($F$3:$F$1460=$F844,$H$3:$H$1460),2)</f>
        <v>424.2</v>
      </c>
      <c r="M844" s="9">
        <f t="array" ref="M844">QUARTILE(IF($F$3:$F$1460=$F844,$H$3:$H$1460),3)</f>
        <v>1030.3</v>
      </c>
    </row>
    <row r="845" spans="1:13" x14ac:dyDescent="0.25">
      <c r="A845" s="7">
        <v>845</v>
      </c>
      <c r="B845" s="6" t="s">
        <v>716</v>
      </c>
      <c r="C845" s="7">
        <v>5300966</v>
      </c>
      <c r="D845" s="23" t="s">
        <v>717</v>
      </c>
      <c r="E845" s="6" t="s">
        <v>718</v>
      </c>
      <c r="F845" s="21" t="s">
        <v>46</v>
      </c>
      <c r="G845" s="45" t="s">
        <v>787</v>
      </c>
      <c r="H845" s="22">
        <f>91/1.2</f>
        <v>75.833333333333343</v>
      </c>
      <c r="I845" s="9">
        <v>35</v>
      </c>
      <c r="J845" s="22">
        <f t="shared" si="8"/>
        <v>2654.166666666667</v>
      </c>
      <c r="K845" s="9">
        <f t="array" ref="K845">QUARTILE(IF($F$3:$F$1460=$F845,$H$3:$H$1460),1)</f>
        <v>229.78</v>
      </c>
      <c r="L845" s="9">
        <f t="array" ref="L845">QUARTILE(IF($F$3:$F$1460=$F845,$H$3:$H$1460),2)</f>
        <v>424.2</v>
      </c>
      <c r="M845" s="9">
        <f t="array" ref="M845">QUARTILE(IF($F$3:$F$1460=$F845,$H$3:$H$1460),3)</f>
        <v>1030.3</v>
      </c>
    </row>
    <row r="846" spans="1:13" x14ac:dyDescent="0.25">
      <c r="A846" s="7">
        <v>846</v>
      </c>
      <c r="B846" s="6" t="s">
        <v>716</v>
      </c>
      <c r="C846" s="7">
        <v>5300966</v>
      </c>
      <c r="D846" s="23" t="s">
        <v>717</v>
      </c>
      <c r="E846" s="6" t="s">
        <v>718</v>
      </c>
      <c r="F846" s="21" t="s">
        <v>46</v>
      </c>
      <c r="G846" s="45" t="s">
        <v>788</v>
      </c>
      <c r="H846" s="22">
        <f>147/1.2</f>
        <v>122.5</v>
      </c>
      <c r="I846" s="9">
        <v>44</v>
      </c>
      <c r="J846" s="22">
        <f t="shared" si="8"/>
        <v>5390</v>
      </c>
      <c r="K846" s="9">
        <f t="array" ref="K846">QUARTILE(IF($F$3:$F$1460=$F846,$H$3:$H$1460),1)</f>
        <v>229.78</v>
      </c>
      <c r="L846" s="9">
        <f t="array" ref="L846">QUARTILE(IF($F$3:$F$1460=$F846,$H$3:$H$1460),2)</f>
        <v>424.2</v>
      </c>
      <c r="M846" s="9">
        <f t="array" ref="M846">QUARTILE(IF($F$3:$F$1460=$F846,$H$3:$H$1460),3)</f>
        <v>1030.3</v>
      </c>
    </row>
    <row r="847" spans="1:13" x14ac:dyDescent="0.25">
      <c r="A847" s="7">
        <v>847</v>
      </c>
      <c r="B847" s="6" t="s">
        <v>716</v>
      </c>
      <c r="C847" s="7">
        <v>5300966</v>
      </c>
      <c r="D847" s="23" t="s">
        <v>717</v>
      </c>
      <c r="E847" s="6" t="s">
        <v>718</v>
      </c>
      <c r="F847" s="21" t="s">
        <v>46</v>
      </c>
      <c r="G847" s="71" t="s">
        <v>789</v>
      </c>
      <c r="H847" s="22">
        <f>1300/1.2</f>
        <v>1083.3333333333335</v>
      </c>
      <c r="I847" s="9">
        <v>40</v>
      </c>
      <c r="J847" s="22">
        <f t="shared" si="8"/>
        <v>43333.333333333343</v>
      </c>
      <c r="K847" s="9">
        <f t="array" ref="K847">QUARTILE(IF($F$3:$F$1460=$F847,$H$3:$H$1460),1)</f>
        <v>229.78</v>
      </c>
      <c r="L847" s="9">
        <f t="array" ref="L847">QUARTILE(IF($F$3:$F$1460=$F847,$H$3:$H$1460),2)</f>
        <v>424.2</v>
      </c>
      <c r="M847" s="9">
        <f t="array" ref="M847">QUARTILE(IF($F$3:$F$1460=$F847,$H$3:$H$1460),3)</f>
        <v>1030.3</v>
      </c>
    </row>
    <row r="848" spans="1:13" x14ac:dyDescent="0.25">
      <c r="A848" s="7">
        <v>848</v>
      </c>
      <c r="B848" s="6" t="s">
        <v>716</v>
      </c>
      <c r="C848" s="7">
        <v>5300966</v>
      </c>
      <c r="D848" s="23" t="s">
        <v>717</v>
      </c>
      <c r="E848" s="6" t="s">
        <v>718</v>
      </c>
      <c r="F848" s="21" t="s">
        <v>46</v>
      </c>
      <c r="G848" s="71" t="s">
        <v>790</v>
      </c>
      <c r="H848" s="22">
        <f>1951/1.2</f>
        <v>1625.8333333333335</v>
      </c>
      <c r="I848" s="9">
        <v>20</v>
      </c>
      <c r="J848" s="22">
        <f t="shared" si="8"/>
        <v>32516.666666666672</v>
      </c>
      <c r="K848" s="9">
        <f t="array" ref="K848">QUARTILE(IF($F$3:$F$1460=$F848,$H$3:$H$1460),1)</f>
        <v>229.78</v>
      </c>
      <c r="L848" s="9">
        <f t="array" ref="L848">QUARTILE(IF($F$3:$F$1460=$F848,$H$3:$H$1460),2)</f>
        <v>424.2</v>
      </c>
      <c r="M848" s="9">
        <f t="array" ref="M848">QUARTILE(IF($F$3:$F$1460=$F848,$H$3:$H$1460),3)</f>
        <v>1030.3</v>
      </c>
    </row>
    <row r="849" spans="1:13" x14ac:dyDescent="0.25">
      <c r="A849" s="7">
        <v>849</v>
      </c>
      <c r="B849" s="6" t="s">
        <v>716</v>
      </c>
      <c r="C849" s="7">
        <v>5300966</v>
      </c>
      <c r="D849" s="23" t="s">
        <v>717</v>
      </c>
      <c r="E849" s="6" t="s">
        <v>718</v>
      </c>
      <c r="F849" s="21" t="s">
        <v>54</v>
      </c>
      <c r="G849" s="45" t="s">
        <v>791</v>
      </c>
      <c r="H849" s="22">
        <f>4543/1.2</f>
        <v>3785.8333333333335</v>
      </c>
      <c r="I849" s="9">
        <v>10</v>
      </c>
      <c r="J849" s="22">
        <f t="shared" si="8"/>
        <v>37858.333333333336</v>
      </c>
      <c r="K849" s="9">
        <f t="array" ref="K849">QUARTILE(IF($F$3:$F$1460=$F849,$H$3:$H$1460),1)</f>
        <v>393.94499999999999</v>
      </c>
      <c r="L849" s="9">
        <f t="array" ref="L849">QUARTILE(IF($F$3:$F$1460=$F849,$H$3:$H$1460),2)</f>
        <v>710.01499999999999</v>
      </c>
      <c r="M849" s="9">
        <f t="array" ref="M849">QUARTILE(IF($F$3:$F$1460=$F849,$H$3:$H$1460),3)</f>
        <v>2552.0574999999999</v>
      </c>
    </row>
    <row r="850" spans="1:13" x14ac:dyDescent="0.25">
      <c r="A850" s="7">
        <v>850</v>
      </c>
      <c r="B850" s="6" t="s">
        <v>716</v>
      </c>
      <c r="C850" s="7">
        <v>5300966</v>
      </c>
      <c r="D850" s="23" t="s">
        <v>717</v>
      </c>
      <c r="E850" s="6" t="s">
        <v>718</v>
      </c>
      <c r="F850" s="21" t="s">
        <v>54</v>
      </c>
      <c r="G850" s="45" t="s">
        <v>792</v>
      </c>
      <c r="H850" s="22">
        <f>118/1.2</f>
        <v>98.333333333333343</v>
      </c>
      <c r="I850" s="9">
        <v>80</v>
      </c>
      <c r="J850" s="22">
        <f t="shared" si="8"/>
        <v>7866.6666666666679</v>
      </c>
      <c r="K850" s="9">
        <f t="array" ref="K850">QUARTILE(IF($F$3:$F$1460=$F850,$H$3:$H$1460),1)</f>
        <v>393.94499999999999</v>
      </c>
      <c r="L850" s="9">
        <f t="array" ref="L850">QUARTILE(IF($F$3:$F$1460=$F850,$H$3:$H$1460),2)</f>
        <v>710.01499999999999</v>
      </c>
      <c r="M850" s="9">
        <f t="array" ref="M850">QUARTILE(IF($F$3:$F$1460=$F850,$H$3:$H$1460),3)</f>
        <v>2552.0574999999999</v>
      </c>
    </row>
    <row r="851" spans="1:13" x14ac:dyDescent="0.25">
      <c r="A851" s="7">
        <v>851</v>
      </c>
      <c r="B851" s="6" t="s">
        <v>716</v>
      </c>
      <c r="C851" s="7">
        <v>5300966</v>
      </c>
      <c r="D851" s="23" t="s">
        <v>717</v>
      </c>
      <c r="E851" s="6" t="s">
        <v>718</v>
      </c>
      <c r="F851" s="21" t="s">
        <v>54</v>
      </c>
      <c r="G851" s="45" t="s">
        <v>793</v>
      </c>
      <c r="H851" s="22">
        <f>275/1.2</f>
        <v>229.16666666666669</v>
      </c>
      <c r="I851" s="9">
        <v>64</v>
      </c>
      <c r="J851" s="22">
        <f t="shared" si="8"/>
        <v>14666.666666666668</v>
      </c>
      <c r="K851" s="9">
        <f t="array" ref="K851">QUARTILE(IF($F$3:$F$1460=$F851,$H$3:$H$1460),1)</f>
        <v>393.94499999999999</v>
      </c>
      <c r="L851" s="9">
        <f t="array" ref="L851">QUARTILE(IF($F$3:$F$1460=$F851,$H$3:$H$1460),2)</f>
        <v>710.01499999999999</v>
      </c>
      <c r="M851" s="9">
        <f t="array" ref="M851">QUARTILE(IF($F$3:$F$1460=$F851,$H$3:$H$1460),3)</f>
        <v>2552.0574999999999</v>
      </c>
    </row>
    <row r="852" spans="1:13" x14ac:dyDescent="0.25">
      <c r="A852" s="7">
        <v>852</v>
      </c>
      <c r="B852" s="6" t="s">
        <v>716</v>
      </c>
      <c r="C852" s="7">
        <v>5300966</v>
      </c>
      <c r="D852" s="23" t="s">
        <v>717</v>
      </c>
      <c r="E852" s="6" t="s">
        <v>718</v>
      </c>
      <c r="F852" s="21" t="s">
        <v>63</v>
      </c>
      <c r="G852" s="6" t="s">
        <v>794</v>
      </c>
      <c r="H852" s="22">
        <f>867/1.2</f>
        <v>722.5</v>
      </c>
      <c r="I852" s="9">
        <v>15</v>
      </c>
      <c r="J852" s="22">
        <f t="shared" si="8"/>
        <v>10837.5</v>
      </c>
      <c r="K852" s="9">
        <f t="array" ref="K852">QUARTILE(IF($F$3:$F$1460=$F852,$H$3:$H$1460),1)</f>
        <v>935.83333333333337</v>
      </c>
      <c r="L852" s="9">
        <f t="array" ref="L852">QUARTILE(IF($F$3:$F$1460=$F852,$H$3:$H$1460),2)</f>
        <v>2184</v>
      </c>
      <c r="M852" s="9">
        <f t="array" ref="M852">QUARTILE(IF($F$3:$F$1460=$F852,$H$3:$H$1460),3)</f>
        <v>3900.8333333333335</v>
      </c>
    </row>
    <row r="853" spans="1:13" x14ac:dyDescent="0.25">
      <c r="A853" s="7">
        <v>853</v>
      </c>
      <c r="B853" s="6" t="s">
        <v>716</v>
      </c>
      <c r="C853" s="7">
        <v>5300966</v>
      </c>
      <c r="D853" s="23" t="s">
        <v>717</v>
      </c>
      <c r="E853" s="6" t="s">
        <v>718</v>
      </c>
      <c r="F853" s="21" t="s">
        <v>63</v>
      </c>
      <c r="G853" s="6" t="s">
        <v>795</v>
      </c>
      <c r="H853" s="22">
        <f>1123/1.2</f>
        <v>935.83333333333337</v>
      </c>
      <c r="I853" s="9">
        <v>15</v>
      </c>
      <c r="J853" s="22">
        <f t="shared" si="8"/>
        <v>14037.5</v>
      </c>
      <c r="K853" s="9">
        <f t="array" ref="K853">QUARTILE(IF($F$3:$F$1460=$F853,$H$3:$H$1460),1)</f>
        <v>935.83333333333337</v>
      </c>
      <c r="L853" s="9">
        <f t="array" ref="L853">QUARTILE(IF($F$3:$F$1460=$F853,$H$3:$H$1460),2)</f>
        <v>2184</v>
      </c>
      <c r="M853" s="9">
        <f t="array" ref="M853">QUARTILE(IF($F$3:$F$1460=$F853,$H$3:$H$1460),3)</f>
        <v>3900.8333333333335</v>
      </c>
    </row>
    <row r="854" spans="1:13" x14ac:dyDescent="0.25">
      <c r="A854" s="7">
        <v>854</v>
      </c>
      <c r="B854" s="6" t="s">
        <v>716</v>
      </c>
      <c r="C854" s="7">
        <v>5300966</v>
      </c>
      <c r="D854" s="23" t="s">
        <v>717</v>
      </c>
      <c r="E854" s="6" t="s">
        <v>718</v>
      </c>
      <c r="F854" s="21" t="s">
        <v>63</v>
      </c>
      <c r="G854" s="6" t="s">
        <v>796</v>
      </c>
      <c r="H854" s="22">
        <f>4681/1.2</f>
        <v>3900.8333333333335</v>
      </c>
      <c r="I854" s="9">
        <v>15</v>
      </c>
      <c r="J854" s="22">
        <f t="shared" si="8"/>
        <v>58512.5</v>
      </c>
      <c r="K854" s="9">
        <f t="array" ref="K854">QUARTILE(IF($F$3:$F$1460=$F854,$H$3:$H$1460),1)</f>
        <v>935.83333333333337</v>
      </c>
      <c r="L854" s="9">
        <f t="array" ref="L854">QUARTILE(IF($F$3:$F$1460=$F854,$H$3:$H$1460),2)</f>
        <v>2184</v>
      </c>
      <c r="M854" s="9">
        <f t="array" ref="M854">QUARTILE(IF($F$3:$F$1460=$F854,$H$3:$H$1460),3)</f>
        <v>3900.8333333333335</v>
      </c>
    </row>
    <row r="855" spans="1:13" x14ac:dyDescent="0.25">
      <c r="A855" s="7">
        <v>855</v>
      </c>
      <c r="B855" s="6" t="s">
        <v>716</v>
      </c>
      <c r="C855" s="7">
        <v>5300966</v>
      </c>
      <c r="D855" s="23" t="s">
        <v>717</v>
      </c>
      <c r="E855" s="6" t="s">
        <v>718</v>
      </c>
      <c r="F855" s="21" t="s">
        <v>63</v>
      </c>
      <c r="G855" s="6" t="s">
        <v>797</v>
      </c>
      <c r="H855" s="22">
        <f>7470/1.2</f>
        <v>6225</v>
      </c>
      <c r="I855" s="9">
        <v>15</v>
      </c>
      <c r="J855" s="22">
        <f t="shared" si="8"/>
        <v>93375</v>
      </c>
      <c r="K855" s="9">
        <f t="array" ref="K855">QUARTILE(IF($F$3:$F$1460=$F855,$H$3:$H$1460),1)</f>
        <v>935.83333333333337</v>
      </c>
      <c r="L855" s="9">
        <f t="array" ref="L855">QUARTILE(IF($F$3:$F$1460=$F855,$H$3:$H$1460),2)</f>
        <v>2184</v>
      </c>
      <c r="M855" s="9">
        <f t="array" ref="M855">QUARTILE(IF($F$3:$F$1460=$F855,$H$3:$H$1460),3)</f>
        <v>3900.8333333333335</v>
      </c>
    </row>
    <row r="856" spans="1:13" x14ac:dyDescent="0.25">
      <c r="A856" s="7">
        <v>856</v>
      </c>
      <c r="B856" s="6" t="s">
        <v>716</v>
      </c>
      <c r="C856" s="7">
        <v>5300966</v>
      </c>
      <c r="D856" s="23" t="s">
        <v>717</v>
      </c>
      <c r="E856" s="6" t="s">
        <v>718</v>
      </c>
      <c r="F856" s="21" t="s">
        <v>61</v>
      </c>
      <c r="G856" s="45" t="s">
        <v>798</v>
      </c>
      <c r="H856" s="22">
        <f>167/1.2</f>
        <v>139.16666666666669</v>
      </c>
      <c r="I856" s="9">
        <v>30</v>
      </c>
      <c r="J856" s="22">
        <f t="shared" si="8"/>
        <v>4175.0000000000009</v>
      </c>
      <c r="K856" s="9">
        <f t="array" ref="K856">QUARTILE(IF($F$3:$F$1460=$F856,$H$3:$H$1460),1)</f>
        <v>709.95</v>
      </c>
      <c r="L856" s="9">
        <f t="array" ref="L856">QUARTILE(IF($F$3:$F$1460=$F856,$H$3:$H$1460),2)</f>
        <v>1000</v>
      </c>
      <c r="M856" s="9">
        <f t="array" ref="M856">QUARTILE(IF($F$3:$F$1460=$F856,$H$3:$H$1460),3)</f>
        <v>5171.4583333333339</v>
      </c>
    </row>
    <row r="857" spans="1:13" x14ac:dyDescent="0.25">
      <c r="A857" s="7">
        <v>857</v>
      </c>
      <c r="B857" s="6" t="s">
        <v>716</v>
      </c>
      <c r="C857" s="7">
        <v>5300966</v>
      </c>
      <c r="D857" s="23" t="s">
        <v>717</v>
      </c>
      <c r="E857" s="6" t="s">
        <v>718</v>
      </c>
      <c r="F857" s="21" t="s">
        <v>61</v>
      </c>
      <c r="G857" s="45" t="s">
        <v>799</v>
      </c>
      <c r="H857" s="22">
        <f>482/1.2</f>
        <v>401.66666666666669</v>
      </c>
      <c r="I857" s="9">
        <v>30</v>
      </c>
      <c r="J857" s="22">
        <f t="shared" si="8"/>
        <v>12050</v>
      </c>
      <c r="K857" s="9">
        <f t="array" ref="K857">QUARTILE(IF($F$3:$F$1460=$F857,$H$3:$H$1460),1)</f>
        <v>709.95</v>
      </c>
      <c r="L857" s="9">
        <f t="array" ref="L857">QUARTILE(IF($F$3:$F$1460=$F857,$H$3:$H$1460),2)</f>
        <v>1000</v>
      </c>
      <c r="M857" s="9">
        <f t="array" ref="M857">QUARTILE(IF($F$3:$F$1460=$F857,$H$3:$H$1460),3)</f>
        <v>5171.4583333333339</v>
      </c>
    </row>
    <row r="858" spans="1:13" x14ac:dyDescent="0.25">
      <c r="A858" s="7">
        <v>858</v>
      </c>
      <c r="B858" s="6" t="s">
        <v>716</v>
      </c>
      <c r="C858" s="7">
        <v>5300966</v>
      </c>
      <c r="D858" s="23" t="s">
        <v>717</v>
      </c>
      <c r="E858" s="6" t="s">
        <v>718</v>
      </c>
      <c r="F858" s="21" t="s">
        <v>61</v>
      </c>
      <c r="G858" s="71" t="s">
        <v>800</v>
      </c>
      <c r="H858" s="22">
        <f>1153/1.2</f>
        <v>960.83333333333337</v>
      </c>
      <c r="I858" s="9">
        <v>25</v>
      </c>
      <c r="J858" s="22">
        <f t="shared" si="8"/>
        <v>24020.833333333336</v>
      </c>
      <c r="K858" s="9">
        <f t="array" ref="K858">QUARTILE(IF($F$3:$F$1460=$F858,$H$3:$H$1460),1)</f>
        <v>709.95</v>
      </c>
      <c r="L858" s="9">
        <f t="array" ref="L858">QUARTILE(IF($F$3:$F$1460=$F858,$H$3:$H$1460),2)</f>
        <v>1000</v>
      </c>
      <c r="M858" s="9">
        <f t="array" ref="M858">QUARTILE(IF($F$3:$F$1460=$F858,$H$3:$H$1460),3)</f>
        <v>5171.4583333333339</v>
      </c>
    </row>
    <row r="859" spans="1:13" x14ac:dyDescent="0.25">
      <c r="A859" s="7">
        <v>859</v>
      </c>
      <c r="B859" s="6" t="s">
        <v>716</v>
      </c>
      <c r="C859" s="7">
        <v>5300966</v>
      </c>
      <c r="D859" s="23" t="s">
        <v>717</v>
      </c>
      <c r="E859" s="6" t="s">
        <v>718</v>
      </c>
      <c r="F859" s="21" t="s">
        <v>61</v>
      </c>
      <c r="G859" s="71" t="s">
        <v>801</v>
      </c>
      <c r="H859" s="22">
        <f>10801/1.2</f>
        <v>9000.8333333333339</v>
      </c>
      <c r="I859" s="9">
        <v>16</v>
      </c>
      <c r="J859" s="22">
        <f t="shared" si="8"/>
        <v>144013.33333333334</v>
      </c>
      <c r="K859" s="9">
        <f t="array" ref="K859">QUARTILE(IF($F$3:$F$1460=$F859,$H$3:$H$1460),1)</f>
        <v>709.95</v>
      </c>
      <c r="L859" s="9">
        <f t="array" ref="L859">QUARTILE(IF($F$3:$F$1460=$F859,$H$3:$H$1460),2)</f>
        <v>1000</v>
      </c>
      <c r="M859" s="9">
        <f t="array" ref="M859">QUARTILE(IF($F$3:$F$1460=$F859,$H$3:$H$1460),3)</f>
        <v>5171.4583333333339</v>
      </c>
    </row>
    <row r="860" spans="1:13" x14ac:dyDescent="0.25">
      <c r="A860" s="7">
        <v>860</v>
      </c>
      <c r="B860" s="6" t="s">
        <v>716</v>
      </c>
      <c r="C860" s="7">
        <v>5300966</v>
      </c>
      <c r="D860" s="23" t="s">
        <v>717</v>
      </c>
      <c r="E860" s="6" t="s">
        <v>718</v>
      </c>
      <c r="F860" s="21" t="s">
        <v>74</v>
      </c>
      <c r="G860" s="6" t="s">
        <v>802</v>
      </c>
      <c r="H860" s="22">
        <f>8563/1.2</f>
        <v>7135.8333333333339</v>
      </c>
      <c r="I860" s="9">
        <v>10</v>
      </c>
      <c r="J860" s="22">
        <f t="shared" si="8"/>
        <v>71358.333333333343</v>
      </c>
      <c r="K860" s="9">
        <f t="array" ref="K860">QUARTILE(IF($F$3:$F$1460=$F860,$H$3:$H$1460),1)</f>
        <v>7135.8333333333339</v>
      </c>
      <c r="L860" s="9">
        <f t="array" ref="L860">QUARTILE(IF($F$3:$F$1460=$F860,$H$3:$H$1460),2)</f>
        <v>7135.8333333333339</v>
      </c>
      <c r="M860" s="9">
        <f t="array" ref="M860">QUARTILE(IF($F$3:$F$1460=$F860,$H$3:$H$1460),3)</f>
        <v>7135.8333333333339</v>
      </c>
    </row>
    <row r="861" spans="1:13" x14ac:dyDescent="0.25">
      <c r="A861" s="7">
        <v>861</v>
      </c>
      <c r="B861" s="6" t="s">
        <v>716</v>
      </c>
      <c r="C861" s="7">
        <v>5300966</v>
      </c>
      <c r="D861" s="23" t="s">
        <v>717</v>
      </c>
      <c r="E861" s="6" t="s">
        <v>718</v>
      </c>
      <c r="F861" s="21" t="s">
        <v>43</v>
      </c>
      <c r="G861" s="6" t="s">
        <v>803</v>
      </c>
      <c r="H861" s="22">
        <f>88/1.2</f>
        <v>73.333333333333343</v>
      </c>
      <c r="I861" s="9">
        <v>70</v>
      </c>
      <c r="J861" s="22">
        <f t="shared" si="8"/>
        <v>5133.3333333333339</v>
      </c>
      <c r="K861" s="9">
        <f t="array" ref="K861">QUARTILE(IF($F$3:$F$1460=$F861,$H$3:$H$1460),1)</f>
        <v>128.95833333333334</v>
      </c>
      <c r="L861" s="9">
        <f t="array" ref="L861">QUARTILE(IF($F$3:$F$1460=$F861,$H$3:$H$1460),2)</f>
        <v>221.25</v>
      </c>
      <c r="M861" s="9">
        <f t="array" ref="M861">QUARTILE(IF($F$3:$F$1460=$F861,$H$3:$H$1460),3)</f>
        <v>309.375</v>
      </c>
    </row>
    <row r="862" spans="1:13" x14ac:dyDescent="0.25">
      <c r="A862" s="7">
        <v>862</v>
      </c>
      <c r="B862" s="6" t="s">
        <v>716</v>
      </c>
      <c r="C862" s="7">
        <v>5300966</v>
      </c>
      <c r="D862" s="23" t="s">
        <v>717</v>
      </c>
      <c r="E862" s="6" t="s">
        <v>718</v>
      </c>
      <c r="F862" s="21" t="s">
        <v>43</v>
      </c>
      <c r="G862" s="6" t="s">
        <v>804</v>
      </c>
      <c r="H862" s="22">
        <f>177/1.2</f>
        <v>147.5</v>
      </c>
      <c r="I862" s="9">
        <v>50</v>
      </c>
      <c r="J862" s="22">
        <f t="shared" si="8"/>
        <v>7375</v>
      </c>
      <c r="K862" s="9">
        <f t="array" ref="K862">QUARTILE(IF($F$3:$F$1460=$F862,$H$3:$H$1460),1)</f>
        <v>128.95833333333334</v>
      </c>
      <c r="L862" s="9">
        <f t="array" ref="L862">QUARTILE(IF($F$3:$F$1460=$F862,$H$3:$H$1460),2)</f>
        <v>221.25</v>
      </c>
      <c r="M862" s="9">
        <f t="array" ref="M862">QUARTILE(IF($F$3:$F$1460=$F862,$H$3:$H$1460),3)</f>
        <v>309.375</v>
      </c>
    </row>
    <row r="863" spans="1:13" x14ac:dyDescent="0.25">
      <c r="A863" s="7">
        <v>863</v>
      </c>
      <c r="B863" s="6" t="s">
        <v>716</v>
      </c>
      <c r="C863" s="7">
        <v>5300966</v>
      </c>
      <c r="D863" s="23" t="s">
        <v>717</v>
      </c>
      <c r="E863" s="6" t="s">
        <v>718</v>
      </c>
      <c r="F863" s="21" t="s">
        <v>43</v>
      </c>
      <c r="G863" s="6" t="s">
        <v>805</v>
      </c>
      <c r="H863" s="22">
        <f>354/1.2</f>
        <v>295</v>
      </c>
      <c r="I863" s="9">
        <v>50</v>
      </c>
      <c r="J863" s="22">
        <f t="shared" si="8"/>
        <v>14750</v>
      </c>
      <c r="K863" s="9">
        <f t="array" ref="K863">QUARTILE(IF($F$3:$F$1460=$F863,$H$3:$H$1460),1)</f>
        <v>128.95833333333334</v>
      </c>
      <c r="L863" s="9">
        <f t="array" ref="L863">QUARTILE(IF($F$3:$F$1460=$F863,$H$3:$H$1460),2)</f>
        <v>221.25</v>
      </c>
      <c r="M863" s="9">
        <f t="array" ref="M863">QUARTILE(IF($F$3:$F$1460=$F863,$H$3:$H$1460),3)</f>
        <v>309.375</v>
      </c>
    </row>
    <row r="864" spans="1:13" x14ac:dyDescent="0.25">
      <c r="A864" s="7">
        <v>864</v>
      </c>
      <c r="B864" s="6" t="s">
        <v>716</v>
      </c>
      <c r="C864" s="7">
        <v>5300966</v>
      </c>
      <c r="D864" s="23" t="s">
        <v>717</v>
      </c>
      <c r="E864" s="6" t="s">
        <v>718</v>
      </c>
      <c r="F864" s="21" t="s">
        <v>43</v>
      </c>
      <c r="G864" s="6" t="s">
        <v>806</v>
      </c>
      <c r="H864" s="22">
        <f>423/1.2</f>
        <v>352.5</v>
      </c>
      <c r="I864" s="9">
        <v>70</v>
      </c>
      <c r="J864" s="22">
        <f t="shared" si="8"/>
        <v>24675</v>
      </c>
      <c r="K864" s="9">
        <f t="array" ref="K864">QUARTILE(IF($F$3:$F$1460=$F864,$H$3:$H$1460),1)</f>
        <v>128.95833333333334</v>
      </c>
      <c r="L864" s="9">
        <f t="array" ref="L864">QUARTILE(IF($F$3:$F$1460=$F864,$H$3:$H$1460),2)</f>
        <v>221.25</v>
      </c>
      <c r="M864" s="9">
        <f t="array" ref="M864">QUARTILE(IF($F$3:$F$1460=$F864,$H$3:$H$1460),3)</f>
        <v>309.375</v>
      </c>
    </row>
    <row r="865" spans="1:13" x14ac:dyDescent="0.25">
      <c r="A865" s="7">
        <v>865</v>
      </c>
      <c r="B865" s="6" t="s">
        <v>716</v>
      </c>
      <c r="C865" s="7">
        <v>5300966</v>
      </c>
      <c r="D865" s="23" t="s">
        <v>717</v>
      </c>
      <c r="E865" s="6" t="s">
        <v>718</v>
      </c>
      <c r="F865" s="21" t="s">
        <v>59</v>
      </c>
      <c r="G865" s="6" t="s">
        <v>807</v>
      </c>
      <c r="H865" s="22">
        <f>699/1.2</f>
        <v>582.5</v>
      </c>
      <c r="I865" s="9">
        <v>15</v>
      </c>
      <c r="J865" s="22">
        <f t="shared" si="8"/>
        <v>8737.5</v>
      </c>
      <c r="K865" s="9">
        <f t="array" ref="K865">QUARTILE(IF($F$3:$F$1460=$F865,$H$3:$H$1460),1)</f>
        <v>595</v>
      </c>
      <c r="L865" s="9">
        <f t="array" ref="L865">QUARTILE(IF($F$3:$F$1460=$F865,$H$3:$H$1460),2)</f>
        <v>952.5</v>
      </c>
      <c r="M865" s="9">
        <f t="array" ref="M865">QUARTILE(IF($F$3:$F$1460=$F865,$H$3:$H$1460),3)</f>
        <v>1890.4166666666667</v>
      </c>
    </row>
    <row r="866" spans="1:13" x14ac:dyDescent="0.25">
      <c r="A866" s="7">
        <v>866</v>
      </c>
      <c r="B866" s="6" t="s">
        <v>716</v>
      </c>
      <c r="C866" s="7">
        <v>5300966</v>
      </c>
      <c r="D866" s="23" t="s">
        <v>717</v>
      </c>
      <c r="E866" s="6" t="s">
        <v>718</v>
      </c>
      <c r="F866" s="21" t="s">
        <v>59</v>
      </c>
      <c r="G866" s="6" t="s">
        <v>808</v>
      </c>
      <c r="H866" s="22">
        <f>729/1.2</f>
        <v>607.5</v>
      </c>
      <c r="I866" s="9">
        <v>15</v>
      </c>
      <c r="J866" s="22">
        <f t="shared" si="8"/>
        <v>9112.5</v>
      </c>
      <c r="K866" s="9">
        <f t="array" ref="K866">QUARTILE(IF($F$3:$F$1460=$F866,$H$3:$H$1460),1)</f>
        <v>595</v>
      </c>
      <c r="L866" s="9">
        <f t="array" ref="L866">QUARTILE(IF($F$3:$F$1460=$F866,$H$3:$H$1460),2)</f>
        <v>952.5</v>
      </c>
      <c r="M866" s="9">
        <f t="array" ref="M866">QUARTILE(IF($F$3:$F$1460=$F866,$H$3:$H$1460),3)</f>
        <v>1890.4166666666667</v>
      </c>
    </row>
    <row r="867" spans="1:13" x14ac:dyDescent="0.25">
      <c r="A867" s="7">
        <v>867</v>
      </c>
      <c r="B867" s="6" t="s">
        <v>716</v>
      </c>
      <c r="C867" s="7">
        <v>5300966</v>
      </c>
      <c r="D867" s="23" t="s">
        <v>717</v>
      </c>
      <c r="E867" s="6" t="s">
        <v>718</v>
      </c>
      <c r="F867" s="21" t="s">
        <v>59</v>
      </c>
      <c r="G867" s="6" t="s">
        <v>809</v>
      </c>
      <c r="H867" s="22">
        <f>1143/1.2</f>
        <v>952.5</v>
      </c>
      <c r="I867" s="9">
        <v>15</v>
      </c>
      <c r="J867" s="22">
        <f t="shared" si="8"/>
        <v>14287.5</v>
      </c>
      <c r="K867" s="9">
        <f t="array" ref="K867">QUARTILE(IF($F$3:$F$1460=$F867,$H$3:$H$1460),1)</f>
        <v>595</v>
      </c>
      <c r="L867" s="9">
        <f t="array" ref="L867">QUARTILE(IF($F$3:$F$1460=$F867,$H$3:$H$1460),2)</f>
        <v>952.5</v>
      </c>
      <c r="M867" s="9">
        <f t="array" ref="M867">QUARTILE(IF($F$3:$F$1460=$F867,$H$3:$H$1460),3)</f>
        <v>1890.4166666666667</v>
      </c>
    </row>
    <row r="868" spans="1:13" x14ac:dyDescent="0.25">
      <c r="A868" s="7">
        <v>868</v>
      </c>
      <c r="B868" s="6" t="s">
        <v>716</v>
      </c>
      <c r="C868" s="7">
        <v>5300966</v>
      </c>
      <c r="D868" s="23" t="s">
        <v>717</v>
      </c>
      <c r="E868" s="6" t="s">
        <v>718</v>
      </c>
      <c r="F868" s="21" t="s">
        <v>59</v>
      </c>
      <c r="G868" s="6" t="s">
        <v>810</v>
      </c>
      <c r="H868" s="22">
        <f>1369/1.2</f>
        <v>1140.8333333333335</v>
      </c>
      <c r="I868" s="9">
        <v>15</v>
      </c>
      <c r="J868" s="22">
        <f t="shared" si="8"/>
        <v>17112.500000000004</v>
      </c>
      <c r="K868" s="9">
        <f t="array" ref="K868">QUARTILE(IF($F$3:$F$1460=$F868,$H$3:$H$1460),1)</f>
        <v>595</v>
      </c>
      <c r="L868" s="9">
        <f t="array" ref="L868">QUARTILE(IF($F$3:$F$1460=$F868,$H$3:$H$1460),2)</f>
        <v>952.5</v>
      </c>
      <c r="M868" s="9">
        <f t="array" ref="M868">QUARTILE(IF($F$3:$F$1460=$F868,$H$3:$H$1460),3)</f>
        <v>1890.4166666666667</v>
      </c>
    </row>
    <row r="869" spans="1:13" x14ac:dyDescent="0.25">
      <c r="A869" s="7">
        <v>869</v>
      </c>
      <c r="B869" s="6" t="s">
        <v>716</v>
      </c>
      <c r="C869" s="7">
        <v>5300966</v>
      </c>
      <c r="D869" s="23" t="s">
        <v>717</v>
      </c>
      <c r="E869" s="6" t="s">
        <v>718</v>
      </c>
      <c r="F869" s="21" t="s">
        <v>20</v>
      </c>
      <c r="G869" s="6" t="s">
        <v>811</v>
      </c>
      <c r="H869" s="22">
        <f>17/1.2</f>
        <v>14.166666666666668</v>
      </c>
      <c r="I869" s="9">
        <v>176</v>
      </c>
      <c r="J869" s="22">
        <f t="shared" si="8"/>
        <v>2493.3333333333335</v>
      </c>
      <c r="K869" s="9">
        <f t="array" ref="K869">QUARTILE(IF($F$3:$F$1460=$F869,$H$3:$H$1460),1)</f>
        <v>22.082500000000003</v>
      </c>
      <c r="L869" s="9">
        <f t="array" ref="L869">QUARTILE(IF($F$3:$F$1460=$F869,$H$3:$H$1460),2)</f>
        <v>31.15</v>
      </c>
      <c r="M869" s="9">
        <f t="array" ref="M869">QUARTILE(IF($F$3:$F$1460=$F869,$H$3:$H$1460),3)</f>
        <v>48.125</v>
      </c>
    </row>
    <row r="870" spans="1:13" x14ac:dyDescent="0.25">
      <c r="A870" s="7">
        <v>870</v>
      </c>
      <c r="B870" s="6" t="s">
        <v>716</v>
      </c>
      <c r="C870" s="7">
        <v>5300966</v>
      </c>
      <c r="D870" s="23" t="s">
        <v>717</v>
      </c>
      <c r="E870" s="6" t="s">
        <v>718</v>
      </c>
      <c r="F870" s="21" t="s">
        <v>20</v>
      </c>
      <c r="G870" s="6" t="s">
        <v>812</v>
      </c>
      <c r="H870" s="22">
        <f>31/1.2</f>
        <v>25.833333333333336</v>
      </c>
      <c r="I870" s="9">
        <v>330</v>
      </c>
      <c r="J870" s="22">
        <f t="shared" si="8"/>
        <v>8525</v>
      </c>
      <c r="K870" s="9">
        <f t="array" ref="K870">QUARTILE(IF($F$3:$F$1460=$F870,$H$3:$H$1460),1)</f>
        <v>22.082500000000003</v>
      </c>
      <c r="L870" s="9">
        <f t="array" ref="L870">QUARTILE(IF($F$3:$F$1460=$F870,$H$3:$H$1460),2)</f>
        <v>31.15</v>
      </c>
      <c r="M870" s="9">
        <f t="array" ref="M870">QUARTILE(IF($F$3:$F$1460=$F870,$H$3:$H$1460),3)</f>
        <v>48.125</v>
      </c>
    </row>
    <row r="871" spans="1:13" x14ac:dyDescent="0.25">
      <c r="A871" s="7">
        <v>871</v>
      </c>
      <c r="B871" s="6" t="s">
        <v>716</v>
      </c>
      <c r="C871" s="7">
        <v>5300966</v>
      </c>
      <c r="D871" s="23" t="s">
        <v>717</v>
      </c>
      <c r="E871" s="6" t="s">
        <v>718</v>
      </c>
      <c r="F871" s="21" t="s">
        <v>20</v>
      </c>
      <c r="G871" s="6" t="s">
        <v>813</v>
      </c>
      <c r="H871" s="22">
        <f>16/1.2</f>
        <v>13.333333333333334</v>
      </c>
      <c r="I871" s="9">
        <v>225</v>
      </c>
      <c r="J871" s="22">
        <f t="shared" si="8"/>
        <v>3000</v>
      </c>
      <c r="K871" s="9">
        <f t="array" ref="K871">QUARTILE(IF($F$3:$F$1460=$F871,$H$3:$H$1460),1)</f>
        <v>22.082500000000003</v>
      </c>
      <c r="L871" s="9">
        <f t="array" ref="L871">QUARTILE(IF($F$3:$F$1460=$F871,$H$3:$H$1460),2)</f>
        <v>31.15</v>
      </c>
      <c r="M871" s="9">
        <f t="array" ref="M871">QUARTILE(IF($F$3:$F$1460=$F871,$H$3:$H$1460),3)</f>
        <v>48.125</v>
      </c>
    </row>
    <row r="872" spans="1:13" x14ac:dyDescent="0.25">
      <c r="A872" s="7">
        <v>872</v>
      </c>
      <c r="B872" s="6" t="s">
        <v>716</v>
      </c>
      <c r="C872" s="7">
        <v>5300966</v>
      </c>
      <c r="D872" s="23" t="s">
        <v>717</v>
      </c>
      <c r="E872" s="6" t="s">
        <v>718</v>
      </c>
      <c r="F872" s="21" t="s">
        <v>20</v>
      </c>
      <c r="G872" s="6" t="s">
        <v>814</v>
      </c>
      <c r="H872" s="22">
        <f>28/1.2</f>
        <v>23.333333333333336</v>
      </c>
      <c r="I872" s="9">
        <v>230</v>
      </c>
      <c r="J872" s="22">
        <f t="shared" si="8"/>
        <v>5366.666666666667</v>
      </c>
      <c r="K872" s="9">
        <f t="array" ref="K872">QUARTILE(IF($F$3:$F$1460=$F872,$H$3:$H$1460),1)</f>
        <v>22.082500000000003</v>
      </c>
      <c r="L872" s="9">
        <f t="array" ref="L872">QUARTILE(IF($F$3:$F$1460=$F872,$H$3:$H$1460),2)</f>
        <v>31.15</v>
      </c>
      <c r="M872" s="9">
        <f t="array" ref="M872">QUARTILE(IF($F$3:$F$1460=$F872,$H$3:$H$1460),3)</f>
        <v>48.125</v>
      </c>
    </row>
    <row r="873" spans="1:13" x14ac:dyDescent="0.25">
      <c r="A873" s="7">
        <v>873</v>
      </c>
      <c r="B873" s="6" t="s">
        <v>716</v>
      </c>
      <c r="C873" s="7">
        <v>5300966</v>
      </c>
      <c r="D873" s="23" t="s">
        <v>717</v>
      </c>
      <c r="E873" s="6" t="s">
        <v>718</v>
      </c>
      <c r="F873" s="21" t="s">
        <v>31</v>
      </c>
      <c r="G873" s="6" t="s">
        <v>815</v>
      </c>
      <c r="H873" s="22">
        <f>46/1.2</f>
        <v>38.333333333333336</v>
      </c>
      <c r="I873" s="9">
        <v>120</v>
      </c>
      <c r="J873" s="22">
        <f t="shared" si="8"/>
        <v>4600</v>
      </c>
      <c r="K873" s="9">
        <f t="array" ref="K873">QUARTILE(IF($F$3:$F$1460=$F873,$H$3:$H$1460),1)</f>
        <v>55.5</v>
      </c>
      <c r="L873" s="9">
        <f t="array" ref="L873">QUARTILE(IF($F$3:$F$1460=$F873,$H$3:$H$1460),2)</f>
        <v>91.88</v>
      </c>
      <c r="M873" s="9">
        <f t="array" ref="M873">QUARTILE(IF($F$3:$F$1460=$F873,$H$3:$H$1460),3)</f>
        <v>148.36000000000001</v>
      </c>
    </row>
    <row r="874" spans="1:13" x14ac:dyDescent="0.25">
      <c r="A874" s="7">
        <v>874</v>
      </c>
      <c r="B874" s="6" t="s">
        <v>716</v>
      </c>
      <c r="C874" s="7">
        <v>5300966</v>
      </c>
      <c r="D874" s="23" t="s">
        <v>717</v>
      </c>
      <c r="E874" s="6" t="s">
        <v>718</v>
      </c>
      <c r="F874" s="21" t="s">
        <v>31</v>
      </c>
      <c r="G874" s="6" t="s">
        <v>816</v>
      </c>
      <c r="H874" s="22">
        <f>59/1.2</f>
        <v>49.166666666666671</v>
      </c>
      <c r="I874" s="9">
        <v>210</v>
      </c>
      <c r="J874" s="22">
        <f t="shared" si="8"/>
        <v>10325.000000000002</v>
      </c>
      <c r="K874" s="9">
        <f t="array" ref="K874">QUARTILE(IF($F$3:$F$1460=$F874,$H$3:$H$1460),1)</f>
        <v>55.5</v>
      </c>
      <c r="L874" s="9">
        <f t="array" ref="L874">QUARTILE(IF($F$3:$F$1460=$F874,$H$3:$H$1460),2)</f>
        <v>91.88</v>
      </c>
      <c r="M874" s="9">
        <f t="array" ref="M874">QUARTILE(IF($F$3:$F$1460=$F874,$H$3:$H$1460),3)</f>
        <v>148.36000000000001</v>
      </c>
    </row>
    <row r="875" spans="1:13" x14ac:dyDescent="0.25">
      <c r="A875" s="7">
        <v>875</v>
      </c>
      <c r="B875" s="6" t="s">
        <v>716</v>
      </c>
      <c r="C875" s="7">
        <v>5300966</v>
      </c>
      <c r="D875" s="23" t="s">
        <v>717</v>
      </c>
      <c r="E875" s="6" t="s">
        <v>718</v>
      </c>
      <c r="F875" s="21" t="s">
        <v>31</v>
      </c>
      <c r="G875" s="6" t="s">
        <v>817</v>
      </c>
      <c r="H875" s="22">
        <f>90/1.2</f>
        <v>75</v>
      </c>
      <c r="I875" s="9">
        <v>190</v>
      </c>
      <c r="J875" s="22">
        <f t="shared" si="8"/>
        <v>14250</v>
      </c>
      <c r="K875" s="9">
        <f t="array" ref="K875">QUARTILE(IF($F$3:$F$1460=$F875,$H$3:$H$1460),1)</f>
        <v>55.5</v>
      </c>
      <c r="L875" s="9">
        <f t="array" ref="L875">QUARTILE(IF($F$3:$F$1460=$F875,$H$3:$H$1460),2)</f>
        <v>91.88</v>
      </c>
      <c r="M875" s="9">
        <f t="array" ref="M875">QUARTILE(IF($F$3:$F$1460=$F875,$H$3:$H$1460),3)</f>
        <v>148.36000000000001</v>
      </c>
    </row>
    <row r="876" spans="1:13" x14ac:dyDescent="0.25">
      <c r="A876" s="7">
        <v>876</v>
      </c>
      <c r="B876" s="6" t="s">
        <v>716</v>
      </c>
      <c r="C876" s="7">
        <v>5300966</v>
      </c>
      <c r="D876" s="23" t="s">
        <v>717</v>
      </c>
      <c r="E876" s="6" t="s">
        <v>718</v>
      </c>
      <c r="F876" s="21" t="s">
        <v>31</v>
      </c>
      <c r="G876" s="6" t="s">
        <v>818</v>
      </c>
      <c r="H876" s="22">
        <f>135/1.2</f>
        <v>112.5</v>
      </c>
      <c r="I876" s="9">
        <v>193</v>
      </c>
      <c r="J876" s="22">
        <f t="shared" si="8"/>
        <v>21712.5</v>
      </c>
      <c r="K876" s="9">
        <f t="array" ref="K876">QUARTILE(IF($F$3:$F$1460=$F876,$H$3:$H$1460),1)</f>
        <v>55.5</v>
      </c>
      <c r="L876" s="9">
        <f t="array" ref="L876">QUARTILE(IF($F$3:$F$1460=$F876,$H$3:$H$1460),2)</f>
        <v>91.88</v>
      </c>
      <c r="M876" s="9">
        <f t="array" ref="M876">QUARTILE(IF($F$3:$F$1460=$F876,$H$3:$H$1460),3)</f>
        <v>148.36000000000001</v>
      </c>
    </row>
    <row r="877" spans="1:13" x14ac:dyDescent="0.25">
      <c r="A877" s="7">
        <v>877</v>
      </c>
      <c r="B877" s="6" t="s">
        <v>716</v>
      </c>
      <c r="C877" s="7">
        <v>5300966</v>
      </c>
      <c r="D877" s="23" t="s">
        <v>717</v>
      </c>
      <c r="E877" s="6" t="s">
        <v>718</v>
      </c>
      <c r="F877" s="21" t="s">
        <v>31</v>
      </c>
      <c r="G877" s="6" t="s">
        <v>819</v>
      </c>
      <c r="H877" s="22">
        <f>221/1.2</f>
        <v>184.16666666666669</v>
      </c>
      <c r="I877" s="9">
        <v>105</v>
      </c>
      <c r="J877" s="22">
        <f t="shared" si="8"/>
        <v>19337.500000000004</v>
      </c>
      <c r="K877" s="9">
        <f t="array" ref="K877">QUARTILE(IF($F$3:$F$1460=$F877,$H$3:$H$1460),1)</f>
        <v>55.5</v>
      </c>
      <c r="L877" s="9">
        <f t="array" ref="L877">QUARTILE(IF($F$3:$F$1460=$F877,$H$3:$H$1460),2)</f>
        <v>91.88</v>
      </c>
      <c r="M877" s="9">
        <f t="array" ref="M877">QUARTILE(IF($F$3:$F$1460=$F877,$H$3:$H$1460),3)</f>
        <v>148.36000000000001</v>
      </c>
    </row>
    <row r="878" spans="1:13" x14ac:dyDescent="0.25">
      <c r="A878" s="7">
        <v>878</v>
      </c>
      <c r="B878" s="6" t="s">
        <v>716</v>
      </c>
      <c r="C878" s="7">
        <v>5300966</v>
      </c>
      <c r="D878" s="23" t="s">
        <v>717</v>
      </c>
      <c r="E878" s="6" t="s">
        <v>718</v>
      </c>
      <c r="F878" s="21" t="s">
        <v>31</v>
      </c>
      <c r="G878" s="6" t="s">
        <v>820</v>
      </c>
      <c r="H878" s="22">
        <f>23/1.2</f>
        <v>19.166666666666668</v>
      </c>
      <c r="I878" s="9">
        <v>86</v>
      </c>
      <c r="J878" s="22">
        <f t="shared" si="8"/>
        <v>1648.3333333333335</v>
      </c>
      <c r="K878" s="9">
        <f t="array" ref="K878">QUARTILE(IF($F$3:$F$1460=$F878,$H$3:$H$1460),1)</f>
        <v>55.5</v>
      </c>
      <c r="L878" s="9">
        <f t="array" ref="L878">QUARTILE(IF($F$3:$F$1460=$F878,$H$3:$H$1460),2)</f>
        <v>91.88</v>
      </c>
      <c r="M878" s="9">
        <f t="array" ref="M878">QUARTILE(IF($F$3:$F$1460=$F878,$H$3:$H$1460),3)</f>
        <v>148.36000000000001</v>
      </c>
    </row>
    <row r="879" spans="1:13" x14ac:dyDescent="0.25">
      <c r="A879" s="7">
        <v>879</v>
      </c>
      <c r="B879" s="6" t="s">
        <v>716</v>
      </c>
      <c r="C879" s="7">
        <v>5300966</v>
      </c>
      <c r="D879" s="23" t="s">
        <v>717</v>
      </c>
      <c r="E879" s="6" t="s">
        <v>718</v>
      </c>
      <c r="F879" s="21" t="s">
        <v>31</v>
      </c>
      <c r="G879" s="6" t="s">
        <v>821</v>
      </c>
      <c r="H879" s="22">
        <f>43/1.2</f>
        <v>35.833333333333336</v>
      </c>
      <c r="I879" s="9">
        <v>55</v>
      </c>
      <c r="J879" s="22">
        <f t="shared" si="8"/>
        <v>1970.8333333333335</v>
      </c>
      <c r="K879" s="9">
        <f t="array" ref="K879">QUARTILE(IF($F$3:$F$1460=$F879,$H$3:$H$1460),1)</f>
        <v>55.5</v>
      </c>
      <c r="L879" s="9">
        <f t="array" ref="L879">QUARTILE(IF($F$3:$F$1460=$F879,$H$3:$H$1460),2)</f>
        <v>91.88</v>
      </c>
      <c r="M879" s="9">
        <f t="array" ref="M879">QUARTILE(IF($F$3:$F$1460=$F879,$H$3:$H$1460),3)</f>
        <v>148.36000000000001</v>
      </c>
    </row>
    <row r="880" spans="1:13" x14ac:dyDescent="0.25">
      <c r="A880" s="7">
        <v>880</v>
      </c>
      <c r="B880" s="6" t="s">
        <v>716</v>
      </c>
      <c r="C880" s="7">
        <v>5300966</v>
      </c>
      <c r="D880" s="23" t="s">
        <v>717</v>
      </c>
      <c r="E880" s="6" t="s">
        <v>718</v>
      </c>
      <c r="F880" s="21" t="s">
        <v>31</v>
      </c>
      <c r="G880" s="6" t="s">
        <v>822</v>
      </c>
      <c r="H880" s="22">
        <f>67/1.2</f>
        <v>55.833333333333336</v>
      </c>
      <c r="I880" s="9">
        <v>75</v>
      </c>
      <c r="J880" s="22">
        <f t="shared" si="8"/>
        <v>4187.5</v>
      </c>
      <c r="K880" s="9">
        <f t="array" ref="K880">QUARTILE(IF($F$3:$F$1460=$F880,$H$3:$H$1460),1)</f>
        <v>55.5</v>
      </c>
      <c r="L880" s="9">
        <f t="array" ref="L880">QUARTILE(IF($F$3:$F$1460=$F880,$H$3:$H$1460),2)</f>
        <v>91.88</v>
      </c>
      <c r="M880" s="9">
        <f t="array" ref="M880">QUARTILE(IF($F$3:$F$1460=$F880,$H$3:$H$1460),3)</f>
        <v>148.36000000000001</v>
      </c>
    </row>
    <row r="881" spans="1:13" x14ac:dyDescent="0.25">
      <c r="A881" s="7">
        <v>881</v>
      </c>
      <c r="B881" s="6" t="s">
        <v>716</v>
      </c>
      <c r="C881" s="7">
        <v>5300966</v>
      </c>
      <c r="D881" s="23" t="s">
        <v>717</v>
      </c>
      <c r="E881" s="6" t="s">
        <v>718</v>
      </c>
      <c r="F881" s="21" t="s">
        <v>31</v>
      </c>
      <c r="G881" s="6" t="s">
        <v>823</v>
      </c>
      <c r="H881" s="22">
        <f>34/1.2</f>
        <v>28.333333333333336</v>
      </c>
      <c r="I881" s="9">
        <v>64</v>
      </c>
      <c r="J881" s="22">
        <f t="shared" si="8"/>
        <v>1813.3333333333335</v>
      </c>
      <c r="K881" s="9">
        <f t="array" ref="K881">QUARTILE(IF($F$3:$F$1460=$F881,$H$3:$H$1460),1)</f>
        <v>55.5</v>
      </c>
      <c r="L881" s="9">
        <f t="array" ref="L881">QUARTILE(IF($F$3:$F$1460=$F881,$H$3:$H$1460),2)</f>
        <v>91.88</v>
      </c>
      <c r="M881" s="9">
        <f t="array" ref="M881">QUARTILE(IF($F$3:$F$1460=$F881,$H$3:$H$1460),3)</f>
        <v>148.36000000000001</v>
      </c>
    </row>
    <row r="882" spans="1:13" x14ac:dyDescent="0.25">
      <c r="A882" s="7">
        <v>882</v>
      </c>
      <c r="B882" s="6" t="s">
        <v>716</v>
      </c>
      <c r="C882" s="7">
        <v>5300966</v>
      </c>
      <c r="D882" s="23" t="s">
        <v>717</v>
      </c>
      <c r="E882" s="6" t="s">
        <v>718</v>
      </c>
      <c r="F882" s="21" t="s">
        <v>31</v>
      </c>
      <c r="G882" s="6" t="s">
        <v>824</v>
      </c>
      <c r="H882" s="22">
        <f>58/1.2</f>
        <v>48.333333333333336</v>
      </c>
      <c r="I882" s="9">
        <v>51</v>
      </c>
      <c r="J882" s="22">
        <f t="shared" si="8"/>
        <v>2465</v>
      </c>
      <c r="K882" s="9">
        <f t="array" ref="K882">QUARTILE(IF($F$3:$F$1460=$F882,$H$3:$H$1460),1)</f>
        <v>55.5</v>
      </c>
      <c r="L882" s="9">
        <f t="array" ref="L882">QUARTILE(IF($F$3:$F$1460=$F882,$H$3:$H$1460),2)</f>
        <v>91.88</v>
      </c>
      <c r="M882" s="9">
        <f t="array" ref="M882">QUARTILE(IF($F$3:$F$1460=$F882,$H$3:$H$1460),3)</f>
        <v>148.36000000000001</v>
      </c>
    </row>
    <row r="883" spans="1:13" x14ac:dyDescent="0.25">
      <c r="A883" s="7">
        <v>883</v>
      </c>
      <c r="B883" s="6" t="s">
        <v>716</v>
      </c>
      <c r="C883" s="7">
        <v>5300966</v>
      </c>
      <c r="D883" s="23" t="s">
        <v>717</v>
      </c>
      <c r="E883" s="6" t="s">
        <v>718</v>
      </c>
      <c r="F883" s="21" t="s">
        <v>27</v>
      </c>
      <c r="G883" s="6" t="s">
        <v>825</v>
      </c>
      <c r="H883" s="22">
        <f>21/1.2</f>
        <v>17.5</v>
      </c>
      <c r="I883" s="9">
        <v>105</v>
      </c>
      <c r="J883" s="22">
        <f t="shared" si="8"/>
        <v>1837.5</v>
      </c>
      <c r="K883" s="9">
        <f t="array" ref="K883">QUARTILE(IF($F$3:$F$1460=$F883,$H$3:$H$1460),1)</f>
        <v>35.864999999999995</v>
      </c>
      <c r="L883" s="9">
        <f t="array" ref="L883">QUARTILE(IF($F$3:$F$1460=$F883,$H$3:$H$1460),2)</f>
        <v>54.65</v>
      </c>
      <c r="M883" s="9">
        <f t="array" ref="M883">QUARTILE(IF($F$3:$F$1460=$F883,$H$3:$H$1460),3)</f>
        <v>66.5</v>
      </c>
    </row>
    <row r="884" spans="1:13" x14ac:dyDescent="0.25">
      <c r="A884" s="7">
        <v>884</v>
      </c>
      <c r="B884" s="6" t="s">
        <v>716</v>
      </c>
      <c r="C884" s="7">
        <v>5300966</v>
      </c>
      <c r="D884" s="23" t="s">
        <v>717</v>
      </c>
      <c r="E884" s="6" t="s">
        <v>718</v>
      </c>
      <c r="F884" s="21" t="s">
        <v>27</v>
      </c>
      <c r="G884" s="6" t="s">
        <v>826</v>
      </c>
      <c r="H884" s="22">
        <f>31/1.2</f>
        <v>25.833333333333336</v>
      </c>
      <c r="I884" s="9">
        <v>137</v>
      </c>
      <c r="J884" s="22">
        <f t="shared" si="8"/>
        <v>3539.166666666667</v>
      </c>
      <c r="K884" s="9">
        <f t="array" ref="K884">QUARTILE(IF($F$3:$F$1460=$F884,$H$3:$H$1460),1)</f>
        <v>35.864999999999995</v>
      </c>
      <c r="L884" s="9">
        <f t="array" ref="L884">QUARTILE(IF($F$3:$F$1460=$F884,$H$3:$H$1460),2)</f>
        <v>54.65</v>
      </c>
      <c r="M884" s="9">
        <f t="array" ref="M884">QUARTILE(IF($F$3:$F$1460=$F884,$H$3:$H$1460),3)</f>
        <v>66.5</v>
      </c>
    </row>
    <row r="885" spans="1:13" x14ac:dyDescent="0.25">
      <c r="A885" s="7">
        <v>885</v>
      </c>
      <c r="B885" s="6" t="s">
        <v>716</v>
      </c>
      <c r="C885" s="7">
        <v>5300966</v>
      </c>
      <c r="D885" s="23" t="s">
        <v>717</v>
      </c>
      <c r="E885" s="6" t="s">
        <v>718</v>
      </c>
      <c r="F885" s="21" t="s">
        <v>27</v>
      </c>
      <c r="G885" s="6" t="s">
        <v>827</v>
      </c>
      <c r="H885" s="22">
        <f>44/1.2</f>
        <v>36.666666666666671</v>
      </c>
      <c r="I885" s="9">
        <v>75</v>
      </c>
      <c r="J885" s="22">
        <f t="shared" si="8"/>
        <v>2750.0000000000005</v>
      </c>
      <c r="K885" s="9">
        <f t="array" ref="K885">QUARTILE(IF($F$3:$F$1460=$F885,$H$3:$H$1460),1)</f>
        <v>35.864999999999995</v>
      </c>
      <c r="L885" s="9">
        <f t="array" ref="L885">QUARTILE(IF($F$3:$F$1460=$F885,$H$3:$H$1460),2)</f>
        <v>54.65</v>
      </c>
      <c r="M885" s="9">
        <f t="array" ref="M885">QUARTILE(IF($F$3:$F$1460=$F885,$H$3:$H$1460),3)</f>
        <v>66.5</v>
      </c>
    </row>
    <row r="886" spans="1:13" x14ac:dyDescent="0.25">
      <c r="A886" s="7">
        <v>886</v>
      </c>
      <c r="B886" s="6" t="s">
        <v>828</v>
      </c>
      <c r="C886" s="7">
        <v>4382622</v>
      </c>
      <c r="D886" s="23" t="s">
        <v>829</v>
      </c>
      <c r="E886" s="6" t="s">
        <v>830</v>
      </c>
      <c r="F886" s="35" t="s">
        <v>82</v>
      </c>
      <c r="G886" s="6" t="s">
        <v>831</v>
      </c>
      <c r="H886" s="22">
        <f>278111+10911.2+177223</f>
        <v>466245.2</v>
      </c>
      <c r="I886" s="9">
        <v>1</v>
      </c>
      <c r="J886" s="22">
        <f t="shared" si="8"/>
        <v>466245.2</v>
      </c>
      <c r="K886" s="9">
        <f t="array" ref="K886">QUARTILE(IF($F$3:$F$1460=$F886,$H$3:$H$1460),1)</f>
        <v>393885.2</v>
      </c>
      <c r="L886" s="9">
        <f t="array" ref="L886">QUARTILE(IF($F$3:$F$1460=$F886,$H$3:$H$1460),2)</f>
        <v>418005.2</v>
      </c>
      <c r="M886" s="9">
        <f t="array" ref="M886">QUARTILE(IF($F$3:$F$1460=$F886,$H$3:$H$1460),3)</f>
        <v>442125.2</v>
      </c>
    </row>
    <row r="887" spans="1:13" x14ac:dyDescent="0.25">
      <c r="A887" s="7">
        <v>887</v>
      </c>
      <c r="B887" s="6" t="s">
        <v>828</v>
      </c>
      <c r="C887" s="7">
        <v>4382622</v>
      </c>
      <c r="D887" s="23" t="s">
        <v>829</v>
      </c>
      <c r="E887" s="6" t="s">
        <v>830</v>
      </c>
      <c r="F887" s="35" t="s">
        <v>82</v>
      </c>
      <c r="G887" s="6" t="s">
        <v>832</v>
      </c>
      <c r="H887" s="22">
        <f>185742+10911.2+173112</f>
        <v>369765.2</v>
      </c>
      <c r="I887" s="9">
        <v>1</v>
      </c>
      <c r="J887" s="22">
        <f t="shared" si="8"/>
        <v>369765.2</v>
      </c>
      <c r="K887" s="9">
        <f t="array" ref="K887">QUARTILE(IF($F$3:$F$1460=$F887,$H$3:$H$1460),1)</f>
        <v>393885.2</v>
      </c>
      <c r="L887" s="9">
        <f t="array" ref="L887">QUARTILE(IF($F$3:$F$1460=$F887,$H$3:$H$1460),2)</f>
        <v>418005.2</v>
      </c>
      <c r="M887" s="9">
        <f t="array" ref="M887">QUARTILE(IF($F$3:$F$1460=$F887,$H$3:$H$1460),3)</f>
        <v>442125.2</v>
      </c>
    </row>
    <row r="888" spans="1:13" x14ac:dyDescent="0.25">
      <c r="A888" s="7">
        <v>888</v>
      </c>
      <c r="B888" s="6" t="s">
        <v>833</v>
      </c>
      <c r="C888" s="7">
        <v>5980002</v>
      </c>
      <c r="D888" s="23" t="s">
        <v>834</v>
      </c>
      <c r="E888" s="6" t="s">
        <v>835</v>
      </c>
      <c r="F888" s="21" t="s">
        <v>60</v>
      </c>
      <c r="G888" s="45" t="s">
        <v>836</v>
      </c>
      <c r="H888" s="22">
        <f>3163</f>
        <v>3163</v>
      </c>
      <c r="I888" s="9">
        <v>3</v>
      </c>
      <c r="J888" s="22">
        <f t="shared" si="8"/>
        <v>9489</v>
      </c>
      <c r="K888" s="9">
        <f t="array" ref="K888">QUARTILE(IF($F$3:$F$1460=$F888,$H$3:$H$1460),1)</f>
        <v>680</v>
      </c>
      <c r="L888" s="9">
        <f t="array" ref="L888">QUARTILE(IF($F$3:$F$1460=$F888,$H$3:$H$1460),2)</f>
        <v>991</v>
      </c>
      <c r="M888" s="9">
        <f t="array" ref="M888">QUARTILE(IF($F$3:$F$1460=$F888,$H$3:$H$1460),3)</f>
        <v>1485.8333333333335</v>
      </c>
    </row>
    <row r="889" spans="1:13" x14ac:dyDescent="0.25">
      <c r="A889" s="7">
        <v>889</v>
      </c>
      <c r="B889" s="6" t="s">
        <v>833</v>
      </c>
      <c r="C889" s="7">
        <v>5980002</v>
      </c>
      <c r="D889" s="23" t="s">
        <v>834</v>
      </c>
      <c r="E889" s="6" t="s">
        <v>835</v>
      </c>
      <c r="F889" s="21" t="s">
        <v>60</v>
      </c>
      <c r="G889" s="45" t="s">
        <v>837</v>
      </c>
      <c r="H889" s="22">
        <v>6514</v>
      </c>
      <c r="I889" s="9">
        <v>1</v>
      </c>
      <c r="J889" s="22">
        <f t="shared" si="8"/>
        <v>6514</v>
      </c>
      <c r="K889" s="9">
        <f t="array" ref="K889">QUARTILE(IF($F$3:$F$1460=$F889,$H$3:$H$1460),1)</f>
        <v>680</v>
      </c>
      <c r="L889" s="9">
        <f t="array" ref="L889">QUARTILE(IF($F$3:$F$1460=$F889,$H$3:$H$1460),2)</f>
        <v>991</v>
      </c>
      <c r="M889" s="9">
        <f t="array" ref="M889">QUARTILE(IF($F$3:$F$1460=$F889,$H$3:$H$1460),3)</f>
        <v>1485.8333333333335</v>
      </c>
    </row>
    <row r="890" spans="1:13" x14ac:dyDescent="0.25">
      <c r="A890" s="7">
        <v>890</v>
      </c>
      <c r="B890" s="6" t="s">
        <v>833</v>
      </c>
      <c r="C890" s="7">
        <v>5980002</v>
      </c>
      <c r="D890" s="23" t="s">
        <v>834</v>
      </c>
      <c r="E890" s="6" t="s">
        <v>835</v>
      </c>
      <c r="F890" s="21" t="s">
        <v>60</v>
      </c>
      <c r="G890" s="45" t="s">
        <v>838</v>
      </c>
      <c r="H890" s="22">
        <v>1138</v>
      </c>
      <c r="I890" s="9">
        <v>9</v>
      </c>
      <c r="J890" s="22">
        <f t="shared" si="8"/>
        <v>10242</v>
      </c>
      <c r="K890" s="9">
        <f t="array" ref="K890">QUARTILE(IF($F$3:$F$1460=$F890,$H$3:$H$1460),1)</f>
        <v>680</v>
      </c>
      <c r="L890" s="9">
        <f t="array" ref="L890">QUARTILE(IF($F$3:$F$1460=$F890,$H$3:$H$1460),2)</f>
        <v>991</v>
      </c>
      <c r="M890" s="9">
        <f t="array" ref="M890">QUARTILE(IF($F$3:$F$1460=$F890,$H$3:$H$1460),3)</f>
        <v>1485.8333333333335</v>
      </c>
    </row>
    <row r="891" spans="1:13" x14ac:dyDescent="0.25">
      <c r="A891" s="7">
        <v>891</v>
      </c>
      <c r="B891" s="6" t="s">
        <v>833</v>
      </c>
      <c r="C891" s="7">
        <v>5980002</v>
      </c>
      <c r="D891" s="23" t="s">
        <v>834</v>
      </c>
      <c r="E891" s="6" t="s">
        <v>835</v>
      </c>
      <c r="F891" s="21" t="s">
        <v>62</v>
      </c>
      <c r="G891" s="30" t="s">
        <v>839</v>
      </c>
      <c r="H891" s="22">
        <v>4056</v>
      </c>
      <c r="I891" s="9">
        <v>3</v>
      </c>
      <c r="J891" s="22">
        <f t="shared" si="8"/>
        <v>12168</v>
      </c>
      <c r="K891" s="9">
        <f t="array" ref="K891">QUARTILE(IF($F$3:$F$1460=$F891,$H$3:$H$1460),1)</f>
        <v>783.15</v>
      </c>
      <c r="L891" s="9">
        <f t="array" ref="L891">QUARTILE(IF($F$3:$F$1460=$F891,$H$3:$H$1460),2)</f>
        <v>1196.3</v>
      </c>
      <c r="M891" s="9">
        <f t="array" ref="M891">QUARTILE(IF($F$3:$F$1460=$F891,$H$3:$H$1460),3)</f>
        <v>1455.5</v>
      </c>
    </row>
    <row r="892" spans="1:13" x14ac:dyDescent="0.25">
      <c r="A892" s="7">
        <v>892</v>
      </c>
      <c r="B892" s="6" t="s">
        <v>833</v>
      </c>
      <c r="C892" s="7">
        <v>5980002</v>
      </c>
      <c r="D892" s="23" t="s">
        <v>834</v>
      </c>
      <c r="E892" s="6" t="s">
        <v>835</v>
      </c>
      <c r="F892" s="21" t="s">
        <v>62</v>
      </c>
      <c r="G892" s="30" t="s">
        <v>840</v>
      </c>
      <c r="H892" s="22">
        <f>2151.4</f>
        <v>2151.4</v>
      </c>
      <c r="I892" s="9">
        <v>41</v>
      </c>
      <c r="J892" s="22">
        <f t="shared" si="8"/>
        <v>88207.400000000009</v>
      </c>
      <c r="K892" s="9">
        <f t="array" ref="K892">QUARTILE(IF($F$3:$F$1460=$F892,$H$3:$H$1460),1)</f>
        <v>783.15</v>
      </c>
      <c r="L892" s="9">
        <f t="array" ref="L892">QUARTILE(IF($F$3:$F$1460=$F892,$H$3:$H$1460),2)</f>
        <v>1196.3</v>
      </c>
      <c r="M892" s="9">
        <f t="array" ref="M892">QUARTILE(IF($F$3:$F$1460=$F892,$H$3:$H$1460),3)</f>
        <v>1455.5</v>
      </c>
    </row>
    <row r="893" spans="1:13" x14ac:dyDescent="0.25">
      <c r="A893" s="7">
        <v>893</v>
      </c>
      <c r="B893" s="6" t="s">
        <v>833</v>
      </c>
      <c r="C893" s="7">
        <v>5980002</v>
      </c>
      <c r="D893" s="23" t="s">
        <v>834</v>
      </c>
      <c r="E893" s="6" t="s">
        <v>835</v>
      </c>
      <c r="F893" s="21" t="s">
        <v>62</v>
      </c>
      <c r="G893" s="30" t="s">
        <v>841</v>
      </c>
      <c r="H893" s="22">
        <v>3011</v>
      </c>
      <c r="I893" s="9">
        <v>3</v>
      </c>
      <c r="J893" s="22">
        <f t="shared" si="8"/>
        <v>9033</v>
      </c>
      <c r="K893" s="9">
        <f t="array" ref="K893">QUARTILE(IF($F$3:$F$1460=$F893,$H$3:$H$1460),1)</f>
        <v>783.15</v>
      </c>
      <c r="L893" s="9">
        <f t="array" ref="L893">QUARTILE(IF($F$3:$F$1460=$F893,$H$3:$H$1460),2)</f>
        <v>1196.3</v>
      </c>
      <c r="M893" s="9">
        <f t="array" ref="M893">QUARTILE(IF($F$3:$F$1460=$F893,$H$3:$H$1460),3)</f>
        <v>1455.5</v>
      </c>
    </row>
    <row r="894" spans="1:13" x14ac:dyDescent="0.25">
      <c r="A894" s="7">
        <v>894</v>
      </c>
      <c r="B894" s="6" t="s">
        <v>833</v>
      </c>
      <c r="C894" s="7">
        <v>5980002</v>
      </c>
      <c r="D894" s="23" t="s">
        <v>834</v>
      </c>
      <c r="E894" s="6" t="s">
        <v>835</v>
      </c>
      <c r="F894" s="21" t="s">
        <v>44</v>
      </c>
      <c r="G894" s="45" t="s">
        <v>842</v>
      </c>
      <c r="H894" s="22">
        <v>166</v>
      </c>
      <c r="I894" s="9">
        <v>66</v>
      </c>
      <c r="J894" s="22">
        <f t="shared" si="8"/>
        <v>10956</v>
      </c>
      <c r="K894" s="9">
        <f t="array" ref="K894">QUARTILE(IF($F$3:$F$1460=$F894,$H$3:$H$1460),1)</f>
        <v>141.67500000000001</v>
      </c>
      <c r="L894" s="9">
        <f t="array" ref="L894">QUARTILE(IF($F$3:$F$1460=$F894,$H$3:$H$1460),2)</f>
        <v>194</v>
      </c>
      <c r="M894" s="9">
        <f t="array" ref="M894">QUARTILE(IF($F$3:$F$1460=$F894,$H$3:$H$1460),3)</f>
        <v>266.75</v>
      </c>
    </row>
    <row r="895" spans="1:13" x14ac:dyDescent="0.25">
      <c r="A895" s="7">
        <v>895</v>
      </c>
      <c r="B895" s="6" t="s">
        <v>833</v>
      </c>
      <c r="C895" s="7">
        <v>5980002</v>
      </c>
      <c r="D895" s="23" t="s">
        <v>834</v>
      </c>
      <c r="E895" s="6" t="s">
        <v>835</v>
      </c>
      <c r="F895" s="21" t="s">
        <v>44</v>
      </c>
      <c r="G895" s="45" t="s">
        <v>843</v>
      </c>
      <c r="H895" s="22">
        <v>3223</v>
      </c>
      <c r="I895" s="9">
        <v>1</v>
      </c>
      <c r="J895" s="22">
        <f t="shared" si="8"/>
        <v>3223</v>
      </c>
      <c r="K895" s="9">
        <f t="array" ref="K895">QUARTILE(IF($F$3:$F$1460=$F895,$H$3:$H$1460),1)</f>
        <v>141.67500000000001</v>
      </c>
      <c r="L895" s="9">
        <f t="array" ref="L895">QUARTILE(IF($F$3:$F$1460=$F895,$H$3:$H$1460),2)</f>
        <v>194</v>
      </c>
      <c r="M895" s="9">
        <f t="array" ref="M895">QUARTILE(IF($F$3:$F$1460=$F895,$H$3:$H$1460),3)</f>
        <v>266.75</v>
      </c>
    </row>
    <row r="896" spans="1:13" ht="15.75" customHeight="1" x14ac:dyDescent="0.25">
      <c r="A896" s="7">
        <v>896</v>
      </c>
      <c r="B896" s="6" t="s">
        <v>833</v>
      </c>
      <c r="C896" s="7">
        <v>5980002</v>
      </c>
      <c r="D896" s="23" t="s">
        <v>834</v>
      </c>
      <c r="E896" s="6" t="s">
        <v>835</v>
      </c>
      <c r="F896" s="21" t="s">
        <v>54</v>
      </c>
      <c r="G896" s="45" t="s">
        <v>844</v>
      </c>
      <c r="H896" s="22">
        <v>1267</v>
      </c>
      <c r="I896" s="9">
        <v>2</v>
      </c>
      <c r="J896" s="22">
        <f t="shared" si="8"/>
        <v>2534</v>
      </c>
      <c r="K896" s="9">
        <f t="array" ref="K896">QUARTILE(IF($F$3:$F$1460=$F896,$H$3:$H$1460),1)</f>
        <v>393.94499999999999</v>
      </c>
      <c r="L896" s="9">
        <f t="array" ref="L896">QUARTILE(IF($F$3:$F$1460=$F896,$H$3:$H$1460),2)</f>
        <v>710.01499999999999</v>
      </c>
      <c r="M896" s="9">
        <f t="array" ref="M896">QUARTILE(IF($F$3:$F$1460=$F896,$H$3:$H$1460),3)</f>
        <v>2552.0574999999999</v>
      </c>
    </row>
    <row r="897" spans="1:13" ht="18.75" customHeight="1" x14ac:dyDescent="0.25">
      <c r="A897" s="7">
        <v>897</v>
      </c>
      <c r="B897" s="6" t="s">
        <v>833</v>
      </c>
      <c r="C897" s="7">
        <v>5980002</v>
      </c>
      <c r="D897" s="23" t="s">
        <v>834</v>
      </c>
      <c r="E897" s="6" t="s">
        <v>835</v>
      </c>
      <c r="F897" s="21" t="s">
        <v>54</v>
      </c>
      <c r="G897" s="45" t="s">
        <v>845</v>
      </c>
      <c r="H897" s="22">
        <v>1045</v>
      </c>
      <c r="I897" s="9">
        <v>1</v>
      </c>
      <c r="J897" s="22">
        <f t="shared" si="8"/>
        <v>1045</v>
      </c>
      <c r="K897" s="9">
        <f t="array" ref="K897">QUARTILE(IF($F$3:$F$1460=$F897,$H$3:$H$1460),1)</f>
        <v>393.94499999999999</v>
      </c>
      <c r="L897" s="9">
        <f t="array" ref="L897">QUARTILE(IF($F$3:$F$1460=$F897,$H$3:$H$1460),2)</f>
        <v>710.01499999999999</v>
      </c>
      <c r="M897" s="9">
        <f t="array" ref="M897">QUARTILE(IF($F$3:$F$1460=$F897,$H$3:$H$1460),3)</f>
        <v>2552.0574999999999</v>
      </c>
    </row>
    <row r="898" spans="1:13" x14ac:dyDescent="0.25">
      <c r="A898" s="7">
        <v>898</v>
      </c>
      <c r="B898" s="6" t="s">
        <v>833</v>
      </c>
      <c r="C898" s="7">
        <v>5980002</v>
      </c>
      <c r="D898" s="23" t="s">
        <v>834</v>
      </c>
      <c r="E898" s="6" t="s">
        <v>835</v>
      </c>
      <c r="F898" s="21" t="s">
        <v>63</v>
      </c>
      <c r="G898" s="6" t="s">
        <v>846</v>
      </c>
      <c r="H898" s="22">
        <v>2184</v>
      </c>
      <c r="I898" s="9">
        <v>1</v>
      </c>
      <c r="J898" s="22">
        <f t="shared" si="8"/>
        <v>2184</v>
      </c>
      <c r="K898" s="9">
        <f t="array" ref="K898">QUARTILE(IF($F$3:$F$1460=$F898,$H$3:$H$1460),1)</f>
        <v>935.83333333333337</v>
      </c>
      <c r="L898" s="9">
        <f t="array" ref="L898">QUARTILE(IF($F$3:$F$1460=$F898,$H$3:$H$1460),2)</f>
        <v>2184</v>
      </c>
      <c r="M898" s="9">
        <f t="array" ref="M898">QUARTILE(IF($F$3:$F$1460=$F898,$H$3:$H$1460),3)</f>
        <v>3900.8333333333335</v>
      </c>
    </row>
    <row r="899" spans="1:13" x14ac:dyDescent="0.25">
      <c r="A899" s="7">
        <v>899</v>
      </c>
      <c r="B899" s="6" t="s">
        <v>833</v>
      </c>
      <c r="C899" s="7">
        <v>5980002</v>
      </c>
      <c r="D899" s="23" t="s">
        <v>834</v>
      </c>
      <c r="E899" s="6" t="s">
        <v>835</v>
      </c>
      <c r="F899" s="21" t="s">
        <v>41</v>
      </c>
      <c r="G899" s="45" t="s">
        <v>847</v>
      </c>
      <c r="H899" s="22">
        <v>66</v>
      </c>
      <c r="I899" s="9">
        <v>9</v>
      </c>
      <c r="J899" s="22">
        <f t="shared" si="8"/>
        <v>594</v>
      </c>
      <c r="K899" s="9">
        <f t="array" ref="K899">QUARTILE(IF($F$3:$F$1460=$F899,$H$3:$H$1460),1)</f>
        <v>112.19999999999999</v>
      </c>
      <c r="L899" s="9">
        <f t="array" ref="L899">QUARTILE(IF($F$3:$F$1460=$F899,$H$3:$H$1460),2)</f>
        <v>252</v>
      </c>
      <c r="M899" s="9">
        <f t="array" ref="M899">QUARTILE(IF($F$3:$F$1460=$F899,$H$3:$H$1460),3)</f>
        <v>2310</v>
      </c>
    </row>
    <row r="900" spans="1:13" x14ac:dyDescent="0.25">
      <c r="A900" s="7">
        <v>900</v>
      </c>
      <c r="B900" s="6" t="s">
        <v>833</v>
      </c>
      <c r="C900" s="7">
        <v>5980002</v>
      </c>
      <c r="D900" s="23" t="s">
        <v>834</v>
      </c>
      <c r="E900" s="6" t="s">
        <v>835</v>
      </c>
      <c r="F900" s="21" t="s">
        <v>32</v>
      </c>
      <c r="G900" s="45" t="s">
        <v>848</v>
      </c>
      <c r="H900" s="22">
        <v>445</v>
      </c>
      <c r="I900" s="9">
        <v>15</v>
      </c>
      <c r="J900" s="22">
        <f t="shared" si="8"/>
        <v>6675</v>
      </c>
      <c r="K900" s="9">
        <f t="array" ref="K900">QUARTILE(IF($F$3:$F$1460=$F900,$H$3:$H$1460),1)</f>
        <v>59.227499999999999</v>
      </c>
      <c r="L900" s="9">
        <f t="array" ref="L900">QUARTILE(IF($F$3:$F$1460=$F900,$H$3:$H$1460),2)</f>
        <v>332.14</v>
      </c>
      <c r="M900" s="9">
        <f t="array" ref="M900">QUARTILE(IF($F$3:$F$1460=$F900,$H$3:$H$1460),3)</f>
        <v>1331.8050000000001</v>
      </c>
    </row>
    <row r="901" spans="1:13" x14ac:dyDescent="0.25">
      <c r="A901" s="7">
        <v>901</v>
      </c>
      <c r="B901" s="6" t="s">
        <v>833</v>
      </c>
      <c r="C901" s="7">
        <v>5980002</v>
      </c>
      <c r="D901" s="23" t="s">
        <v>834</v>
      </c>
      <c r="E901" s="6" t="s">
        <v>835</v>
      </c>
      <c r="F901" s="21" t="s">
        <v>31</v>
      </c>
      <c r="G901" s="6" t="s">
        <v>849</v>
      </c>
      <c r="H901" s="22">
        <v>357</v>
      </c>
      <c r="I901" s="9">
        <v>8</v>
      </c>
      <c r="J901" s="22">
        <f t="shared" si="8"/>
        <v>2856</v>
      </c>
      <c r="K901" s="9">
        <f t="array" ref="K901">QUARTILE(IF($F$3:$F$1460=$F901,$H$3:$H$1460),1)</f>
        <v>55.5</v>
      </c>
      <c r="L901" s="9">
        <f t="array" ref="L901">QUARTILE(IF($F$3:$F$1460=$F901,$H$3:$H$1460),2)</f>
        <v>91.88</v>
      </c>
      <c r="M901" s="9">
        <f t="array" ref="M901">QUARTILE(IF($F$3:$F$1460=$F901,$H$3:$H$1460),3)</f>
        <v>148.36000000000001</v>
      </c>
    </row>
    <row r="902" spans="1:13" x14ac:dyDescent="0.25">
      <c r="A902" s="7">
        <v>902</v>
      </c>
      <c r="B902" s="6" t="s">
        <v>833</v>
      </c>
      <c r="C902" s="7">
        <v>5980002</v>
      </c>
      <c r="D902" s="23" t="s">
        <v>834</v>
      </c>
      <c r="E902" s="6" t="s">
        <v>835</v>
      </c>
      <c r="F902" s="21" t="s">
        <v>68</v>
      </c>
      <c r="G902" s="45" t="s">
        <v>850</v>
      </c>
      <c r="H902" s="22">
        <v>370</v>
      </c>
      <c r="I902" s="9">
        <v>23</v>
      </c>
      <c r="J902" s="22">
        <f t="shared" si="8"/>
        <v>8510</v>
      </c>
      <c r="K902" s="9">
        <f t="array" ref="K902">QUARTILE(IF($F$3:$F$1460=$F902,$H$3:$H$1460),1)</f>
        <v>2032</v>
      </c>
      <c r="L902" s="9">
        <f t="array" ref="L902">QUARTILE(IF($F$3:$F$1460=$F902,$H$3:$H$1460),2)</f>
        <v>19360</v>
      </c>
      <c r="M902" s="9">
        <f t="array" ref="M902">QUARTILE(IF($F$3:$F$1460=$F902,$H$3:$H$1460),3)</f>
        <v>87628.37</v>
      </c>
    </row>
    <row r="903" spans="1:13" x14ac:dyDescent="0.25">
      <c r="A903" s="7">
        <v>903</v>
      </c>
      <c r="B903" s="6" t="s">
        <v>833</v>
      </c>
      <c r="C903" s="7">
        <v>5980002</v>
      </c>
      <c r="D903" s="23" t="s">
        <v>834</v>
      </c>
      <c r="E903" s="6" t="s">
        <v>835</v>
      </c>
      <c r="F903" s="21" t="s">
        <v>16</v>
      </c>
      <c r="G903" s="6" t="s">
        <v>851</v>
      </c>
      <c r="H903" s="22">
        <v>32</v>
      </c>
      <c r="I903" s="9">
        <v>1</v>
      </c>
      <c r="J903" s="22">
        <f t="shared" si="8"/>
        <v>32</v>
      </c>
      <c r="K903" s="9">
        <f t="array" ref="K903">QUARTILE(IF($F$3:$F$1460=$F903,$H$3:$H$1460),1)</f>
        <v>14.8</v>
      </c>
      <c r="L903" s="9">
        <f t="array" ref="L903">QUARTILE(IF($F$3:$F$1460=$F903,$H$3:$H$1460),2)</f>
        <v>19.5</v>
      </c>
      <c r="M903" s="9">
        <f t="array" ref="M903">QUARTILE(IF($F$3:$F$1460=$F903,$H$3:$H$1460),3)</f>
        <v>31.25</v>
      </c>
    </row>
    <row r="904" spans="1:13" x14ac:dyDescent="0.25">
      <c r="A904" s="7">
        <v>904</v>
      </c>
      <c r="B904" s="6" t="s">
        <v>833</v>
      </c>
      <c r="C904" s="7">
        <v>5980002</v>
      </c>
      <c r="D904" s="23" t="s">
        <v>834</v>
      </c>
      <c r="E904" s="6" t="s">
        <v>835</v>
      </c>
      <c r="F904" s="21" t="s">
        <v>6</v>
      </c>
      <c r="G904" s="6" t="s">
        <v>852</v>
      </c>
      <c r="H904" s="22">
        <v>2</v>
      </c>
      <c r="I904" s="9">
        <v>41</v>
      </c>
      <c r="J904" s="22">
        <f t="shared" si="8"/>
        <v>82</v>
      </c>
      <c r="K904" s="9">
        <f t="array" ref="K904">QUARTILE(IF($F$3:$F$1460=$F904,$H$3:$H$1460),1)</f>
        <v>4.25</v>
      </c>
      <c r="L904" s="9">
        <f t="array" ref="L904">QUARTILE(IF($F$3:$F$1460=$F904,$H$3:$H$1460),2)</f>
        <v>6.12</v>
      </c>
      <c r="M904" s="9">
        <f t="array" ref="M904">QUARTILE(IF($F$3:$F$1460=$F904,$H$3:$H$1460),3)</f>
        <v>13.55</v>
      </c>
    </row>
    <row r="905" spans="1:13" x14ac:dyDescent="0.25">
      <c r="A905" s="7">
        <v>905</v>
      </c>
      <c r="B905" s="6" t="s">
        <v>833</v>
      </c>
      <c r="C905" s="7">
        <v>5980002</v>
      </c>
      <c r="D905" s="23" t="s">
        <v>834</v>
      </c>
      <c r="E905" s="6" t="s">
        <v>835</v>
      </c>
      <c r="F905" s="21" t="s">
        <v>9</v>
      </c>
      <c r="G905" s="6" t="s">
        <v>853</v>
      </c>
      <c r="H905" s="22">
        <v>4</v>
      </c>
      <c r="I905" s="9">
        <v>41</v>
      </c>
      <c r="J905" s="22">
        <f t="shared" si="8"/>
        <v>164</v>
      </c>
      <c r="K905" s="9">
        <f t="array" ref="K905">QUARTILE(IF($F$3:$F$1460=$F905,$H$3:$H$1460),1)</f>
        <v>5.1899999999999995</v>
      </c>
      <c r="L905" s="9">
        <f t="array" ref="L905">QUARTILE(IF($F$3:$F$1460=$F905,$H$3:$H$1460),2)</f>
        <v>8.5</v>
      </c>
      <c r="M905" s="9">
        <f t="array" ref="M905">QUARTILE(IF($F$3:$F$1460=$F905,$H$3:$H$1460),3)</f>
        <v>21.95</v>
      </c>
    </row>
    <row r="906" spans="1:13" x14ac:dyDescent="0.25">
      <c r="A906" s="7">
        <v>906</v>
      </c>
      <c r="B906" s="6" t="s">
        <v>833</v>
      </c>
      <c r="C906" s="7">
        <v>5980002</v>
      </c>
      <c r="D906" s="23" t="s">
        <v>834</v>
      </c>
      <c r="E906" s="6" t="s">
        <v>835</v>
      </c>
      <c r="F906" s="21" t="s">
        <v>40</v>
      </c>
      <c r="G906" s="45" t="s">
        <v>854</v>
      </c>
      <c r="H906" s="22">
        <v>111</v>
      </c>
      <c r="I906" s="9">
        <v>10</v>
      </c>
      <c r="J906" s="22">
        <f t="shared" si="8"/>
        <v>1110</v>
      </c>
      <c r="K906" s="9">
        <f t="array" ref="K906">QUARTILE(IF($F$3:$F$1460=$F906,$H$3:$H$1460),1)</f>
        <v>111</v>
      </c>
      <c r="L906" s="9">
        <f t="array" ref="L906">QUARTILE(IF($F$3:$F$1460=$F906,$H$3:$H$1460),2)</f>
        <v>111</v>
      </c>
      <c r="M906" s="9">
        <f t="array" ref="M906">QUARTILE(IF($F$3:$F$1460=$F906,$H$3:$H$1460),3)</f>
        <v>111</v>
      </c>
    </row>
    <row r="907" spans="1:13" x14ac:dyDescent="0.25">
      <c r="A907" s="7">
        <v>907</v>
      </c>
      <c r="B907" s="6" t="s">
        <v>833</v>
      </c>
      <c r="C907" s="7">
        <v>5980002</v>
      </c>
      <c r="D907" s="23" t="s">
        <v>834</v>
      </c>
      <c r="E907" s="6" t="s">
        <v>835</v>
      </c>
      <c r="F907" s="21" t="s">
        <v>12</v>
      </c>
      <c r="G907" s="6" t="s">
        <v>855</v>
      </c>
      <c r="H907" s="22">
        <v>10</v>
      </c>
      <c r="I907" s="9">
        <v>6</v>
      </c>
      <c r="J907" s="22">
        <f t="shared" si="8"/>
        <v>60</v>
      </c>
      <c r="K907" s="9">
        <f t="array" ref="K907">QUARTILE(IF($F$3:$F$1460=$F907,$H$3:$H$1460),1)</f>
        <v>10.059999999999999</v>
      </c>
      <c r="L907" s="9">
        <f t="array" ref="L907">QUARTILE(IF($F$3:$F$1460=$F907,$H$3:$H$1460),2)</f>
        <v>22.94</v>
      </c>
      <c r="M907" s="9">
        <f t="array" ref="M907">QUARTILE(IF($F$3:$F$1460=$F907,$H$3:$H$1460),3)</f>
        <v>48.75</v>
      </c>
    </row>
    <row r="908" spans="1:13" x14ac:dyDescent="0.25">
      <c r="A908" s="7">
        <v>908</v>
      </c>
      <c r="B908" s="6" t="s">
        <v>833</v>
      </c>
      <c r="C908" s="7">
        <v>5980002</v>
      </c>
      <c r="D908" s="23" t="s">
        <v>834</v>
      </c>
      <c r="E908" s="6" t="s">
        <v>835</v>
      </c>
      <c r="F908" s="21" t="s">
        <v>10</v>
      </c>
      <c r="G908" s="6" t="s">
        <v>856</v>
      </c>
      <c r="H908" s="22">
        <v>15</v>
      </c>
      <c r="I908" s="9">
        <v>20</v>
      </c>
      <c r="J908" s="22">
        <f t="shared" si="8"/>
        <v>300</v>
      </c>
      <c r="K908" s="9">
        <f t="array" ref="K908">QUARTILE(IF($F$3:$F$1460=$F908,$H$3:$H$1460),1)</f>
        <v>7.9050000000000002</v>
      </c>
      <c r="L908" s="9">
        <f t="array" ref="L908">QUARTILE(IF($F$3:$F$1460=$F908,$H$3:$H$1460),2)</f>
        <v>13</v>
      </c>
      <c r="M908" s="9">
        <f t="array" ref="M908">QUARTILE(IF($F$3:$F$1460=$F908,$H$3:$H$1460),3)</f>
        <v>16.75</v>
      </c>
    </row>
    <row r="909" spans="1:13" x14ac:dyDescent="0.25">
      <c r="A909" s="7">
        <v>909</v>
      </c>
      <c r="B909" s="6" t="s">
        <v>833</v>
      </c>
      <c r="C909" s="7">
        <v>5980002</v>
      </c>
      <c r="D909" s="23" t="s">
        <v>834</v>
      </c>
      <c r="E909" s="6" t="s">
        <v>835</v>
      </c>
      <c r="F909" s="21" t="s">
        <v>8</v>
      </c>
      <c r="G909" s="6" t="s">
        <v>857</v>
      </c>
      <c r="H909" s="22">
        <v>8</v>
      </c>
      <c r="I909" s="9">
        <v>11</v>
      </c>
      <c r="J909" s="22">
        <f t="shared" si="8"/>
        <v>88</v>
      </c>
      <c r="K909" s="9">
        <f t="array" ref="K909">QUARTILE(IF($F$3:$F$1460=$F909,$H$3:$H$1460),1)</f>
        <v>4.9000000000000004</v>
      </c>
      <c r="L909" s="9">
        <f t="array" ref="L909">QUARTILE(IF($F$3:$F$1460=$F909,$H$3:$H$1460),2)</f>
        <v>8.4</v>
      </c>
      <c r="M909" s="9">
        <f t="array" ref="M909">QUARTILE(IF($F$3:$F$1460=$F909,$H$3:$H$1460),3)</f>
        <v>14</v>
      </c>
    </row>
    <row r="910" spans="1:13" x14ac:dyDescent="0.25">
      <c r="A910" s="7">
        <v>910</v>
      </c>
      <c r="B910" s="6" t="s">
        <v>833</v>
      </c>
      <c r="C910" s="7">
        <v>5980002</v>
      </c>
      <c r="D910" s="23" t="s">
        <v>834</v>
      </c>
      <c r="E910" s="6" t="s">
        <v>835</v>
      </c>
      <c r="F910" s="21" t="s">
        <v>68</v>
      </c>
      <c r="G910" s="45" t="s">
        <v>858</v>
      </c>
      <c r="H910" s="22">
        <v>2032</v>
      </c>
      <c r="I910" s="9">
        <v>9</v>
      </c>
      <c r="J910" s="22">
        <f t="shared" si="8"/>
        <v>18288</v>
      </c>
      <c r="K910" s="9">
        <f t="array" ref="K910">QUARTILE(IF($F$3:$F$1460=$F910,$H$3:$H$1460),1)</f>
        <v>2032</v>
      </c>
      <c r="L910" s="9">
        <f t="array" ref="L910">QUARTILE(IF($F$3:$F$1460=$F910,$H$3:$H$1460),2)</f>
        <v>19360</v>
      </c>
      <c r="M910" s="9">
        <f t="array" ref="M910">QUARTILE(IF($F$3:$F$1460=$F910,$H$3:$H$1460),3)</f>
        <v>87628.37</v>
      </c>
    </row>
    <row r="911" spans="1:13" x14ac:dyDescent="0.25">
      <c r="A911" s="7">
        <v>911</v>
      </c>
      <c r="B911" s="6" t="s">
        <v>833</v>
      </c>
      <c r="C911" s="7">
        <v>5980002</v>
      </c>
      <c r="D911" s="23" t="s">
        <v>834</v>
      </c>
      <c r="E911" s="6" t="s">
        <v>835</v>
      </c>
      <c r="F911" s="21" t="s">
        <v>7</v>
      </c>
      <c r="G911" s="6" t="s">
        <v>859</v>
      </c>
      <c r="H911" s="22">
        <v>21</v>
      </c>
      <c r="I911" s="9">
        <v>1</v>
      </c>
      <c r="J911" s="22">
        <f t="shared" si="8"/>
        <v>21</v>
      </c>
      <c r="K911" s="9">
        <f t="array" ref="K911">QUARTILE(IF($F$3:$F$1460=$F911,$H$3:$H$1460),1)</f>
        <v>4.8</v>
      </c>
      <c r="L911" s="9">
        <f t="array" ref="L911">QUARTILE(IF($F$3:$F$1460=$F911,$H$3:$H$1460),2)</f>
        <v>6.58</v>
      </c>
      <c r="M911" s="9">
        <f t="array" ref="M911">QUARTILE(IF($F$3:$F$1460=$F911,$H$3:$H$1460),3)</f>
        <v>6.9</v>
      </c>
    </row>
    <row r="912" spans="1:13" x14ac:dyDescent="0.25">
      <c r="A912" s="7">
        <v>943</v>
      </c>
      <c r="B912" s="6" t="s">
        <v>860</v>
      </c>
      <c r="C912" s="7">
        <v>4117630</v>
      </c>
      <c r="D912" s="23" t="s">
        <v>861</v>
      </c>
      <c r="E912" s="6" t="s">
        <v>862</v>
      </c>
      <c r="F912" s="21" t="s">
        <v>39</v>
      </c>
      <c r="G912" s="6" t="s">
        <v>863</v>
      </c>
      <c r="H912" s="22">
        <v>2007.28</v>
      </c>
      <c r="I912" s="9">
        <v>1</v>
      </c>
      <c r="J912" s="22">
        <f>I912*H912</f>
        <v>2007.28</v>
      </c>
      <c r="K912" s="9">
        <f t="array" ref="K912">QUARTILE(IF($F$3:$F$1460=$F912,$H$3:$H$1460),1)</f>
        <v>98.7</v>
      </c>
      <c r="L912" s="9">
        <f t="array" ref="L912">QUARTILE(IF($F$3:$F$1460=$F912,$H$3:$H$1460),2)</f>
        <v>172.56</v>
      </c>
      <c r="M912" s="9">
        <f t="array" ref="M912">QUARTILE(IF($F$3:$F$1460=$F912,$H$3:$H$1460),3)</f>
        <v>2312.5</v>
      </c>
    </row>
    <row r="913" spans="1:14" ht="33" x14ac:dyDescent="0.25">
      <c r="A913" s="7">
        <v>944</v>
      </c>
      <c r="B913" s="6" t="s">
        <v>860</v>
      </c>
      <c r="C913" s="7">
        <v>4117630</v>
      </c>
      <c r="D913" s="23" t="s">
        <v>861</v>
      </c>
      <c r="E913" s="6" t="s">
        <v>862</v>
      </c>
      <c r="F913" s="35" t="s">
        <v>80</v>
      </c>
      <c r="G913" s="6" t="s">
        <v>864</v>
      </c>
      <c r="H913" s="22">
        <v>8701.66</v>
      </c>
      <c r="I913" s="9">
        <v>2</v>
      </c>
      <c r="J913" s="22">
        <f>I913*H913</f>
        <v>17403.32</v>
      </c>
      <c r="K913" s="9">
        <f t="array" ref="K913">QUARTILE(IF($F$3:$F$1460=$F913,$H$3:$H$1460),1)</f>
        <v>37430.41333333333</v>
      </c>
      <c r="L913" s="9">
        <f t="array" ref="L913">QUARTILE(IF($F$3:$F$1460=$F913,$H$3:$H$1460),2)</f>
        <v>66159.166666666672</v>
      </c>
      <c r="M913" s="9">
        <f t="array" ref="M913">QUARTILE(IF($F$3:$F$1460=$F913,$H$3:$H$1460),3)</f>
        <v>71916.25</v>
      </c>
    </row>
    <row r="914" spans="1:14" x14ac:dyDescent="0.3">
      <c r="A914" s="7">
        <v>945</v>
      </c>
      <c r="B914" s="6" t="s">
        <v>860</v>
      </c>
      <c r="C914" s="7">
        <v>4117630</v>
      </c>
      <c r="D914" s="23" t="s">
        <v>861</v>
      </c>
      <c r="E914" s="6" t="s">
        <v>862</v>
      </c>
      <c r="F914" s="21" t="s">
        <v>32</v>
      </c>
      <c r="G914" s="72" t="s">
        <v>865</v>
      </c>
      <c r="H914" s="22">
        <v>1386.96</v>
      </c>
      <c r="I914" s="9">
        <v>2</v>
      </c>
      <c r="J914" s="22">
        <f t="shared" ref="J914:J1000" si="9">I914*H914</f>
        <v>2773.92</v>
      </c>
      <c r="K914" s="9">
        <f t="array" ref="K914">QUARTILE(IF($F$3:$F$1460=$F914,$H$3:$H$1460),1)</f>
        <v>59.227499999999999</v>
      </c>
      <c r="L914" s="9">
        <f t="array" ref="L914">QUARTILE(IF($F$3:$F$1460=$F914,$H$3:$H$1460),2)</f>
        <v>332.14</v>
      </c>
      <c r="M914" s="9">
        <f t="array" ref="M914">QUARTILE(IF($F$3:$F$1460=$F914,$H$3:$H$1460),3)</f>
        <v>1331.8050000000001</v>
      </c>
    </row>
    <row r="915" spans="1:14" x14ac:dyDescent="0.25">
      <c r="A915" s="7">
        <v>946</v>
      </c>
      <c r="B915" s="6" t="s">
        <v>860</v>
      </c>
      <c r="C915" s="7">
        <v>4117630</v>
      </c>
      <c r="D915" s="23" t="s">
        <v>861</v>
      </c>
      <c r="E915" s="6" t="s">
        <v>862</v>
      </c>
      <c r="F915" s="21" t="s">
        <v>28</v>
      </c>
      <c r="G915" s="6" t="s">
        <v>866</v>
      </c>
      <c r="H915" s="22">
        <v>43.48</v>
      </c>
      <c r="I915" s="9">
        <v>2</v>
      </c>
      <c r="J915" s="22">
        <f t="shared" si="9"/>
        <v>86.96</v>
      </c>
      <c r="K915" s="9">
        <f t="array" ref="K915">QUARTILE(IF($F$3:$F$1460=$F915,$H$3:$H$1460),1)</f>
        <v>40.5</v>
      </c>
      <c r="L915" s="9">
        <f t="array" ref="L915">QUARTILE(IF($F$3:$F$1460=$F915,$H$3:$H$1460),2)</f>
        <v>43.39</v>
      </c>
      <c r="M915" s="9">
        <f t="array" ref="M915">QUARTILE(IF($F$3:$F$1460=$F915,$H$3:$H$1460),3)</f>
        <v>69.25</v>
      </c>
    </row>
    <row r="916" spans="1:14" x14ac:dyDescent="0.25">
      <c r="A916" s="7">
        <v>947</v>
      </c>
      <c r="B916" s="6" t="s">
        <v>860</v>
      </c>
      <c r="C916" s="7">
        <v>4117630</v>
      </c>
      <c r="D916" s="23" t="s">
        <v>861</v>
      </c>
      <c r="E916" s="6" t="s">
        <v>862</v>
      </c>
      <c r="F916" s="21" t="s">
        <v>75</v>
      </c>
      <c r="G916" s="6" t="s">
        <v>867</v>
      </c>
      <c r="H916" s="22">
        <v>12877.72</v>
      </c>
      <c r="I916" s="9">
        <v>2</v>
      </c>
      <c r="J916" s="22">
        <f t="shared" si="9"/>
        <v>25755.439999999999</v>
      </c>
      <c r="K916" s="9">
        <f t="array" ref="K916">QUARTILE(IF($F$3:$F$1460=$F916,$H$3:$H$1460),1)</f>
        <v>7209.15</v>
      </c>
      <c r="L916" s="9">
        <f t="array" ref="L916">QUARTILE(IF($F$3:$F$1460=$F916,$H$3:$H$1460),2)</f>
        <v>15534.78</v>
      </c>
      <c r="M916" s="9">
        <f t="array" ref="M916">QUARTILE(IF($F$3:$F$1460=$F916,$H$3:$H$1460),3)</f>
        <v>29950.799999999999</v>
      </c>
    </row>
    <row r="917" spans="1:14" s="33" customFormat="1" x14ac:dyDescent="0.25">
      <c r="A917" s="29">
        <v>948</v>
      </c>
      <c r="B917" s="30" t="s">
        <v>868</v>
      </c>
      <c r="C917" s="29">
        <v>5836528</v>
      </c>
      <c r="D917" s="20" t="s">
        <v>869</v>
      </c>
      <c r="E917" s="30" t="s">
        <v>870</v>
      </c>
      <c r="F917" s="21" t="s">
        <v>68</v>
      </c>
      <c r="G917" s="30" t="s">
        <v>871</v>
      </c>
      <c r="H917" s="34">
        <v>58595</v>
      </c>
      <c r="I917" s="31">
        <v>2</v>
      </c>
      <c r="J917" s="34">
        <f t="shared" si="9"/>
        <v>117190</v>
      </c>
      <c r="K917" s="31">
        <f t="array" ref="K917">QUARTILE(IF($F$3:$F$1460=$F917,$H$3:$H$1460),1)</f>
        <v>2032</v>
      </c>
      <c r="L917" s="31">
        <f t="array" ref="L917">QUARTILE(IF($F$3:$F$1460=$F917,$H$3:$H$1460),2)</f>
        <v>19360</v>
      </c>
      <c r="M917" s="31">
        <f t="array" ref="M917">QUARTILE(IF($F$3:$F$1460=$F917,$H$3:$H$1460),3)</f>
        <v>87628.37</v>
      </c>
      <c r="N917" s="5"/>
    </row>
    <row r="918" spans="1:14" s="33" customFormat="1" x14ac:dyDescent="0.25">
      <c r="A918" s="29">
        <v>949</v>
      </c>
      <c r="B918" s="30" t="s">
        <v>868</v>
      </c>
      <c r="C918" s="29">
        <v>5836528</v>
      </c>
      <c r="D918" s="20" t="s">
        <v>869</v>
      </c>
      <c r="E918" s="30" t="s">
        <v>870</v>
      </c>
      <c r="F918" s="21" t="s">
        <v>68</v>
      </c>
      <c r="G918" s="30" t="s">
        <v>872</v>
      </c>
      <c r="H918" s="34">
        <v>16275</v>
      </c>
      <c r="I918" s="31">
        <v>2</v>
      </c>
      <c r="J918" s="34">
        <f t="shared" si="9"/>
        <v>32550</v>
      </c>
      <c r="K918" s="31">
        <f t="array" ref="K918">QUARTILE(IF($F$3:$F$1460=$F918,$H$3:$H$1460),1)</f>
        <v>2032</v>
      </c>
      <c r="L918" s="31">
        <f t="array" ref="L918">QUARTILE(IF($F$3:$F$1460=$F918,$H$3:$H$1460),2)</f>
        <v>19360</v>
      </c>
      <c r="M918" s="31">
        <f t="array" ref="M918">QUARTILE(IF($F$3:$F$1460=$F918,$H$3:$H$1460),3)</f>
        <v>87628.37</v>
      </c>
      <c r="N918" s="5"/>
    </row>
    <row r="919" spans="1:14" s="33" customFormat="1" x14ac:dyDescent="0.25">
      <c r="A919" s="29">
        <v>950</v>
      </c>
      <c r="B919" s="30" t="s">
        <v>868</v>
      </c>
      <c r="C919" s="29">
        <v>5836528</v>
      </c>
      <c r="D919" s="20" t="s">
        <v>869</v>
      </c>
      <c r="E919" s="30" t="s">
        <v>870</v>
      </c>
      <c r="F919" s="21" t="s">
        <v>68</v>
      </c>
      <c r="G919" s="30" t="s">
        <v>873</v>
      </c>
      <c r="H919" s="34">
        <v>42530</v>
      </c>
      <c r="I919" s="31">
        <v>1</v>
      </c>
      <c r="J919" s="34">
        <f t="shared" si="9"/>
        <v>42530</v>
      </c>
      <c r="K919" s="31">
        <f t="array" ref="K919">QUARTILE(IF($F$3:$F$1460=$F919,$H$3:$H$1460),1)</f>
        <v>2032</v>
      </c>
      <c r="L919" s="31">
        <f t="array" ref="L919">QUARTILE(IF($F$3:$F$1460=$F919,$H$3:$H$1460),2)</f>
        <v>19360</v>
      </c>
      <c r="M919" s="31">
        <f t="array" ref="M919">QUARTILE(IF($F$3:$F$1460=$F919,$H$3:$H$1460),3)</f>
        <v>87628.37</v>
      </c>
      <c r="N919" s="5"/>
    </row>
    <row r="920" spans="1:14" s="33" customFormat="1" x14ac:dyDescent="0.25">
      <c r="A920" s="29">
        <v>951</v>
      </c>
      <c r="B920" s="30" t="s">
        <v>868</v>
      </c>
      <c r="C920" s="29">
        <v>5836528</v>
      </c>
      <c r="D920" s="20" t="s">
        <v>869</v>
      </c>
      <c r="E920" s="30" t="s">
        <v>870</v>
      </c>
      <c r="F920" s="21" t="s">
        <v>31</v>
      </c>
      <c r="G920" s="30" t="s">
        <v>874</v>
      </c>
      <c r="H920" s="34">
        <v>1980</v>
      </c>
      <c r="I920" s="31">
        <v>9</v>
      </c>
      <c r="J920" s="34">
        <f t="shared" si="9"/>
        <v>17820</v>
      </c>
      <c r="K920" s="31">
        <f t="array" ref="K920">QUARTILE(IF($F$3:$F$1460=$F920,$H$3:$H$1460),1)</f>
        <v>55.5</v>
      </c>
      <c r="L920" s="31">
        <f t="array" ref="L920">QUARTILE(IF($F$3:$F$1460=$F920,$H$3:$H$1460),2)</f>
        <v>91.88</v>
      </c>
      <c r="M920" s="31">
        <f t="array" ref="M920">QUARTILE(IF($F$3:$F$1460=$F920,$H$3:$H$1460),3)</f>
        <v>148.36000000000001</v>
      </c>
      <c r="N920" s="5"/>
    </row>
    <row r="921" spans="1:14" s="33" customFormat="1" x14ac:dyDescent="0.25">
      <c r="A921" s="29">
        <v>952</v>
      </c>
      <c r="B921" s="30" t="s">
        <v>868</v>
      </c>
      <c r="C921" s="29">
        <v>5836528</v>
      </c>
      <c r="D921" s="20" t="s">
        <v>869</v>
      </c>
      <c r="E921" s="30" t="s">
        <v>870</v>
      </c>
      <c r="F921" s="21" t="s">
        <v>31</v>
      </c>
      <c r="G921" s="30" t="s">
        <v>875</v>
      </c>
      <c r="H921" s="34">
        <v>320</v>
      </c>
      <c r="I921" s="31">
        <v>24</v>
      </c>
      <c r="J921" s="34">
        <f t="shared" si="9"/>
        <v>7680</v>
      </c>
      <c r="K921" s="31">
        <f t="array" ref="K921">QUARTILE(IF($F$3:$F$1460=$F921,$H$3:$H$1460),1)</f>
        <v>55.5</v>
      </c>
      <c r="L921" s="31">
        <f t="array" ref="L921">QUARTILE(IF($F$3:$F$1460=$F921,$H$3:$H$1460),2)</f>
        <v>91.88</v>
      </c>
      <c r="M921" s="31">
        <f t="array" ref="M921">QUARTILE(IF($F$3:$F$1460=$F921,$H$3:$H$1460),3)</f>
        <v>148.36000000000001</v>
      </c>
      <c r="N921" s="5"/>
    </row>
    <row r="922" spans="1:14" s="33" customFormat="1" x14ac:dyDescent="0.25">
      <c r="A922" s="29">
        <v>953</v>
      </c>
      <c r="B922" s="30" t="s">
        <v>868</v>
      </c>
      <c r="C922" s="29">
        <v>5836528</v>
      </c>
      <c r="D922" s="20" t="s">
        <v>869</v>
      </c>
      <c r="E922" s="30" t="s">
        <v>870</v>
      </c>
      <c r="F922" s="21" t="s">
        <v>31</v>
      </c>
      <c r="G922" s="30" t="s">
        <v>876</v>
      </c>
      <c r="H922" s="34">
        <v>270</v>
      </c>
      <c r="I922" s="31">
        <v>20</v>
      </c>
      <c r="J922" s="34">
        <f t="shared" si="9"/>
        <v>5400</v>
      </c>
      <c r="K922" s="31">
        <f t="array" ref="K922">QUARTILE(IF($F$3:$F$1460=$F922,$H$3:$H$1460),1)</f>
        <v>55.5</v>
      </c>
      <c r="L922" s="31">
        <f t="array" ref="L922">QUARTILE(IF($F$3:$F$1460=$F922,$H$3:$H$1460),2)</f>
        <v>91.88</v>
      </c>
      <c r="M922" s="31">
        <f t="array" ref="M922">QUARTILE(IF($F$3:$F$1460=$F922,$H$3:$H$1460),3)</f>
        <v>148.36000000000001</v>
      </c>
      <c r="N922" s="5"/>
    </row>
    <row r="923" spans="1:14" x14ac:dyDescent="0.25">
      <c r="A923" s="7">
        <v>958</v>
      </c>
      <c r="B923" s="6" t="s">
        <v>877</v>
      </c>
      <c r="C923" s="7">
        <v>3837591</v>
      </c>
      <c r="D923" s="23" t="s">
        <v>878</v>
      </c>
      <c r="E923" s="6" t="s">
        <v>879</v>
      </c>
      <c r="F923" s="21" t="s">
        <v>39</v>
      </c>
      <c r="G923" s="6" t="s">
        <v>880</v>
      </c>
      <c r="H923" s="22">
        <v>2325</v>
      </c>
      <c r="I923" s="9">
        <v>4</v>
      </c>
      <c r="J923" s="22">
        <f t="shared" si="9"/>
        <v>9300</v>
      </c>
      <c r="K923" s="9">
        <f t="array" ref="K923">QUARTILE(IF($F$3:$F$1460=$F923,$H$3:$H$1460),1)</f>
        <v>98.7</v>
      </c>
      <c r="L923" s="9">
        <f t="array" ref="L923">QUARTILE(IF($F$3:$F$1460=$F923,$H$3:$H$1460),2)</f>
        <v>172.56</v>
      </c>
      <c r="M923" s="9">
        <f t="array" ref="M923">QUARTILE(IF($F$3:$F$1460=$F923,$H$3:$H$1460),3)</f>
        <v>2312.5</v>
      </c>
    </row>
    <row r="924" spans="1:14" x14ac:dyDescent="0.25">
      <c r="A924" s="7">
        <v>959</v>
      </c>
      <c r="B924" s="6" t="s">
        <v>877</v>
      </c>
      <c r="C924" s="7">
        <v>3837591</v>
      </c>
      <c r="D924" s="23" t="s">
        <v>878</v>
      </c>
      <c r="E924" s="6" t="s">
        <v>879</v>
      </c>
      <c r="F924" s="21" t="s">
        <v>39</v>
      </c>
      <c r="G924" s="6" t="s">
        <v>881</v>
      </c>
      <c r="H924" s="22">
        <v>1675</v>
      </c>
      <c r="I924" s="9">
        <v>7</v>
      </c>
      <c r="J924" s="22">
        <f t="shared" si="9"/>
        <v>11725</v>
      </c>
      <c r="K924" s="9">
        <f t="array" ref="K924">QUARTILE(IF($F$3:$F$1460=$F924,$H$3:$H$1460),1)</f>
        <v>98.7</v>
      </c>
      <c r="L924" s="9">
        <f t="array" ref="L924">QUARTILE(IF($F$3:$F$1460=$F924,$H$3:$H$1460),2)</f>
        <v>172.56</v>
      </c>
      <c r="M924" s="9">
        <f t="array" ref="M924">QUARTILE(IF($F$3:$F$1460=$F924,$H$3:$H$1460),3)</f>
        <v>2312.5</v>
      </c>
    </row>
    <row r="925" spans="1:14" x14ac:dyDescent="0.25">
      <c r="A925" s="7">
        <v>963</v>
      </c>
      <c r="B925" s="6" t="s">
        <v>877</v>
      </c>
      <c r="C925" s="7">
        <v>3837591</v>
      </c>
      <c r="D925" s="23" t="s">
        <v>878</v>
      </c>
      <c r="E925" s="6" t="s">
        <v>879</v>
      </c>
      <c r="F925" s="21" t="s">
        <v>17</v>
      </c>
      <c r="G925" s="6" t="s">
        <v>882</v>
      </c>
      <c r="H925" s="22">
        <v>129</v>
      </c>
      <c r="I925" s="9">
        <v>4</v>
      </c>
      <c r="J925" s="22">
        <f t="shared" si="9"/>
        <v>516</v>
      </c>
      <c r="K925" s="9">
        <f t="array" ref="K925">QUARTILE(IF($F$3:$F$1460=$F925,$H$3:$H$1460),1)</f>
        <v>17.549999999999997</v>
      </c>
      <c r="L925" s="9">
        <f t="array" ref="L925">QUARTILE(IF($F$3:$F$1460=$F925,$H$3:$H$1460),2)</f>
        <v>275.8</v>
      </c>
      <c r="M925" s="9">
        <f t="array" ref="M925">QUARTILE(IF($F$3:$F$1460=$F925,$H$3:$H$1460),3)</f>
        <v>11191.057499999999</v>
      </c>
    </row>
    <row r="926" spans="1:14" x14ac:dyDescent="0.25">
      <c r="A926" s="7">
        <v>964</v>
      </c>
      <c r="B926" s="6" t="s">
        <v>877</v>
      </c>
      <c r="C926" s="7">
        <v>3837591</v>
      </c>
      <c r="D926" s="23" t="s">
        <v>878</v>
      </c>
      <c r="E926" s="6" t="s">
        <v>879</v>
      </c>
      <c r="F926" s="21" t="s">
        <v>17</v>
      </c>
      <c r="G926" s="6" t="s">
        <v>883</v>
      </c>
      <c r="H926" s="22">
        <v>99</v>
      </c>
      <c r="I926" s="9">
        <v>10</v>
      </c>
      <c r="J926" s="22">
        <f t="shared" si="9"/>
        <v>990</v>
      </c>
      <c r="K926" s="9">
        <f t="array" ref="K926">QUARTILE(IF($F$3:$F$1460=$F926,$H$3:$H$1460),1)</f>
        <v>17.549999999999997</v>
      </c>
      <c r="L926" s="9">
        <f t="array" ref="L926">QUARTILE(IF($F$3:$F$1460=$F926,$H$3:$H$1460),2)</f>
        <v>275.8</v>
      </c>
      <c r="M926" s="9">
        <f t="array" ref="M926">QUARTILE(IF($F$3:$F$1460=$F926,$H$3:$H$1460),3)</f>
        <v>11191.057499999999</v>
      </c>
    </row>
    <row r="927" spans="1:14" x14ac:dyDescent="0.25">
      <c r="A927" s="7">
        <v>965</v>
      </c>
      <c r="B927" s="6" t="s">
        <v>884</v>
      </c>
      <c r="C927" s="7">
        <v>3917692</v>
      </c>
      <c r="D927" s="23" t="s">
        <v>885</v>
      </c>
      <c r="E927" s="6" t="s">
        <v>886</v>
      </c>
      <c r="F927" s="21" t="s">
        <v>34</v>
      </c>
      <c r="G927" s="6" t="s">
        <v>887</v>
      </c>
      <c r="H927" s="22">
        <v>3494</v>
      </c>
      <c r="I927" s="9">
        <v>1</v>
      </c>
      <c r="J927" s="22">
        <f t="shared" si="9"/>
        <v>3494</v>
      </c>
      <c r="K927" s="9">
        <f t="array" ref="K927">QUARTILE(IF($F$3:$F$1460=$F927,$H$3:$H$1460),1)</f>
        <v>69.75</v>
      </c>
      <c r="L927" s="9">
        <f t="array" ref="L927">QUARTILE(IF($F$3:$F$1460=$F927,$H$3:$H$1460),2)</f>
        <v>86</v>
      </c>
      <c r="M927" s="9">
        <f t="array" ref="M927">QUARTILE(IF($F$3:$F$1460=$F927,$H$3:$H$1460),3)</f>
        <v>144</v>
      </c>
    </row>
    <row r="928" spans="1:14" x14ac:dyDescent="0.25">
      <c r="A928" s="7">
        <v>966</v>
      </c>
      <c r="B928" s="6" t="s">
        <v>884</v>
      </c>
      <c r="C928" s="7">
        <v>3917692</v>
      </c>
      <c r="D928" s="23" t="s">
        <v>885</v>
      </c>
      <c r="E928" s="6" t="s">
        <v>886</v>
      </c>
      <c r="F928" s="21" t="s">
        <v>31</v>
      </c>
      <c r="G928" s="6" t="s">
        <v>888</v>
      </c>
      <c r="H928" s="22">
        <v>349.44</v>
      </c>
      <c r="I928" s="9">
        <v>1</v>
      </c>
      <c r="J928" s="22">
        <f t="shared" si="9"/>
        <v>349.44</v>
      </c>
      <c r="K928" s="9">
        <f t="array" ref="K928">QUARTILE(IF($F$3:$F$1460=$F928,$H$3:$H$1460),1)</f>
        <v>55.5</v>
      </c>
      <c r="L928" s="9">
        <f t="array" ref="L928">QUARTILE(IF($F$3:$F$1460=$F928,$H$3:$H$1460),2)</f>
        <v>91.88</v>
      </c>
      <c r="M928" s="9">
        <f t="array" ref="M928">QUARTILE(IF($F$3:$F$1460=$F928,$H$3:$H$1460),3)</f>
        <v>148.36000000000001</v>
      </c>
    </row>
    <row r="929" spans="1:14" x14ac:dyDescent="0.25">
      <c r="A929" s="7">
        <v>967</v>
      </c>
      <c r="B929" s="6" t="s">
        <v>884</v>
      </c>
      <c r="C929" s="7">
        <v>3917692</v>
      </c>
      <c r="D929" s="23" t="s">
        <v>885</v>
      </c>
      <c r="E929" s="6" t="s">
        <v>886</v>
      </c>
      <c r="F929" s="21" t="s">
        <v>31</v>
      </c>
      <c r="G929" s="6" t="s">
        <v>889</v>
      </c>
      <c r="H929" s="22">
        <v>233.42</v>
      </c>
      <c r="I929" s="9">
        <v>4</v>
      </c>
      <c r="J929" s="22">
        <f t="shared" si="9"/>
        <v>933.68</v>
      </c>
      <c r="K929" s="9">
        <f t="array" ref="K929">QUARTILE(IF($F$3:$F$1460=$F929,$H$3:$H$1460),1)</f>
        <v>55.5</v>
      </c>
      <c r="L929" s="9">
        <f t="array" ref="L929">QUARTILE(IF($F$3:$F$1460=$F929,$H$3:$H$1460),2)</f>
        <v>91.88</v>
      </c>
      <c r="M929" s="9">
        <f t="array" ref="M929">QUARTILE(IF($F$3:$F$1460=$F929,$H$3:$H$1460),3)</f>
        <v>148.36000000000001</v>
      </c>
    </row>
    <row r="930" spans="1:14" s="33" customFormat="1" x14ac:dyDescent="0.25">
      <c r="A930" s="29">
        <v>970</v>
      </c>
      <c r="B930" s="30" t="s">
        <v>890</v>
      </c>
      <c r="C930" s="29">
        <v>3888033</v>
      </c>
      <c r="D930" s="20" t="s">
        <v>891</v>
      </c>
      <c r="E930" s="30" t="s">
        <v>892</v>
      </c>
      <c r="F930" s="21" t="s">
        <v>60</v>
      </c>
      <c r="G930" s="30" t="s">
        <v>893</v>
      </c>
      <c r="H930" s="34">
        <v>12736</v>
      </c>
      <c r="I930" s="31">
        <v>12</v>
      </c>
      <c r="J930" s="34">
        <f t="shared" si="9"/>
        <v>152832</v>
      </c>
      <c r="K930" s="31">
        <f t="array" ref="K930">QUARTILE(IF($F$3:$F$1460=$F930,$H$3:$H$1460),1)</f>
        <v>680</v>
      </c>
      <c r="L930" s="31">
        <f t="array" ref="L930">QUARTILE(IF($F$3:$F$1460=$F930,$H$3:$H$1460),2)</f>
        <v>991</v>
      </c>
      <c r="M930" s="31">
        <f t="array" ref="M930">QUARTILE(IF($F$3:$F$1460=$F930,$H$3:$H$1460),3)</f>
        <v>1485.8333333333335</v>
      </c>
      <c r="N930" s="5"/>
    </row>
    <row r="931" spans="1:14" x14ac:dyDescent="0.25">
      <c r="A931" s="7">
        <v>971</v>
      </c>
      <c r="B931" s="6" t="s">
        <v>890</v>
      </c>
      <c r="C931" s="7">
        <v>3888033</v>
      </c>
      <c r="D931" s="23" t="s">
        <v>891</v>
      </c>
      <c r="E931" s="6" t="s">
        <v>892</v>
      </c>
      <c r="F931" s="21" t="s">
        <v>44</v>
      </c>
      <c r="G931" s="6" t="s">
        <v>894</v>
      </c>
      <c r="H931" s="22">
        <v>172</v>
      </c>
      <c r="I931" s="9">
        <v>24</v>
      </c>
      <c r="J931" s="22">
        <f t="shared" si="9"/>
        <v>4128</v>
      </c>
      <c r="K931" s="9">
        <f t="array" ref="K931">QUARTILE(IF($F$3:$F$1460=$F931,$H$3:$H$1460),1)</f>
        <v>141.67500000000001</v>
      </c>
      <c r="L931" s="9">
        <f t="array" ref="L931">QUARTILE(IF($F$3:$F$1460=$F931,$H$3:$H$1460),2)</f>
        <v>194</v>
      </c>
      <c r="M931" s="9">
        <f t="array" ref="M931">QUARTILE(IF($F$3:$F$1460=$F931,$H$3:$H$1460),3)</f>
        <v>266.75</v>
      </c>
    </row>
    <row r="932" spans="1:14" x14ac:dyDescent="0.25">
      <c r="A932" s="7">
        <v>972</v>
      </c>
      <c r="B932" s="6" t="s">
        <v>890</v>
      </c>
      <c r="C932" s="7">
        <v>3888033</v>
      </c>
      <c r="D932" s="23" t="s">
        <v>891</v>
      </c>
      <c r="E932" s="6" t="s">
        <v>892</v>
      </c>
      <c r="F932" s="21" t="s">
        <v>62</v>
      </c>
      <c r="G932" s="6" t="s">
        <v>895</v>
      </c>
      <c r="H932" s="22">
        <v>2442.1999999999998</v>
      </c>
      <c r="I932" s="9">
        <v>8</v>
      </c>
      <c r="J932" s="22">
        <f t="shared" si="9"/>
        <v>19537.599999999999</v>
      </c>
      <c r="K932" s="9">
        <f t="array" ref="K932">QUARTILE(IF($F$3:$F$1460=$F932,$H$3:$H$1460),1)</f>
        <v>783.15</v>
      </c>
      <c r="L932" s="9">
        <f t="array" ref="L932">QUARTILE(IF($F$3:$F$1460=$F932,$H$3:$H$1460),2)</f>
        <v>1196.3</v>
      </c>
      <c r="M932" s="9">
        <f t="array" ref="M932">QUARTILE(IF($F$3:$F$1460=$F932,$H$3:$H$1460),3)</f>
        <v>1455.5</v>
      </c>
    </row>
    <row r="933" spans="1:14" x14ac:dyDescent="0.25">
      <c r="A933" s="7">
        <v>973</v>
      </c>
      <c r="B933" s="6" t="s">
        <v>890</v>
      </c>
      <c r="C933" s="7">
        <v>3888033</v>
      </c>
      <c r="D933" s="23" t="s">
        <v>891</v>
      </c>
      <c r="E933" s="6" t="s">
        <v>892</v>
      </c>
      <c r="F933" s="21" t="s">
        <v>31</v>
      </c>
      <c r="G933" s="6" t="s">
        <v>896</v>
      </c>
      <c r="H933" s="22">
        <v>120.1</v>
      </c>
      <c r="I933" s="9">
        <v>6</v>
      </c>
      <c r="J933" s="22">
        <f t="shared" si="9"/>
        <v>720.59999999999991</v>
      </c>
      <c r="K933" s="9">
        <f t="array" ref="K933">QUARTILE(IF($F$3:$F$1460=$F933,$H$3:$H$1460),1)</f>
        <v>55.5</v>
      </c>
      <c r="L933" s="9">
        <f t="array" ref="L933">QUARTILE(IF($F$3:$F$1460=$F933,$H$3:$H$1460),2)</f>
        <v>91.88</v>
      </c>
      <c r="M933" s="9">
        <f t="array" ref="M933">QUARTILE(IF($F$3:$F$1460=$F933,$H$3:$H$1460),3)</f>
        <v>148.36000000000001</v>
      </c>
    </row>
    <row r="934" spans="1:14" x14ac:dyDescent="0.25">
      <c r="A934" s="7">
        <v>974</v>
      </c>
      <c r="B934" s="6" t="s">
        <v>890</v>
      </c>
      <c r="C934" s="7">
        <v>3888033</v>
      </c>
      <c r="D934" s="23" t="s">
        <v>891</v>
      </c>
      <c r="E934" s="6" t="s">
        <v>892</v>
      </c>
      <c r="F934" s="21" t="s">
        <v>31</v>
      </c>
      <c r="G934" s="6" t="s">
        <v>897</v>
      </c>
      <c r="H934" s="22">
        <v>198.2</v>
      </c>
      <c r="I934" s="9">
        <v>9</v>
      </c>
      <c r="J934" s="22">
        <f t="shared" si="9"/>
        <v>1783.8</v>
      </c>
      <c r="K934" s="9">
        <f t="array" ref="K934">QUARTILE(IF($F$3:$F$1460=$F934,$H$3:$H$1460),1)</f>
        <v>55.5</v>
      </c>
      <c r="L934" s="9">
        <f t="array" ref="L934">QUARTILE(IF($F$3:$F$1460=$F934,$H$3:$H$1460),2)</f>
        <v>91.88</v>
      </c>
      <c r="M934" s="9">
        <f t="array" ref="M934">QUARTILE(IF($F$3:$F$1460=$F934,$H$3:$H$1460),3)</f>
        <v>148.36000000000001</v>
      </c>
    </row>
    <row r="935" spans="1:14" x14ac:dyDescent="0.25">
      <c r="A935" s="7">
        <v>975</v>
      </c>
      <c r="B935" s="6" t="s">
        <v>890</v>
      </c>
      <c r="C935" s="7">
        <v>3888033</v>
      </c>
      <c r="D935" s="23" t="s">
        <v>891</v>
      </c>
      <c r="E935" s="6" t="s">
        <v>892</v>
      </c>
      <c r="F935" s="21" t="s">
        <v>31</v>
      </c>
      <c r="G935" s="6" t="s">
        <v>898</v>
      </c>
      <c r="H935" s="22">
        <v>264</v>
      </c>
      <c r="I935" s="9">
        <v>8</v>
      </c>
      <c r="J935" s="22">
        <f t="shared" si="9"/>
        <v>2112</v>
      </c>
      <c r="K935" s="9">
        <f t="array" ref="K935">QUARTILE(IF($F$3:$F$1460=$F935,$H$3:$H$1460),1)</f>
        <v>55.5</v>
      </c>
      <c r="L935" s="9">
        <f t="array" ref="L935">QUARTILE(IF($F$3:$F$1460=$F935,$H$3:$H$1460),2)</f>
        <v>91.88</v>
      </c>
      <c r="M935" s="9">
        <f t="array" ref="M935">QUARTILE(IF($F$3:$F$1460=$F935,$H$3:$H$1460),3)</f>
        <v>148.36000000000001</v>
      </c>
    </row>
    <row r="936" spans="1:14" x14ac:dyDescent="0.25">
      <c r="A936" s="7">
        <v>976</v>
      </c>
      <c r="B936" s="6" t="s">
        <v>890</v>
      </c>
      <c r="C936" s="7">
        <v>3888033</v>
      </c>
      <c r="D936" s="23" t="s">
        <v>891</v>
      </c>
      <c r="E936" s="6" t="s">
        <v>892</v>
      </c>
      <c r="F936" s="21" t="s">
        <v>31</v>
      </c>
      <c r="G936" s="6" t="s">
        <v>899</v>
      </c>
      <c r="H936" s="22">
        <v>757.7</v>
      </c>
      <c r="I936" s="9">
        <v>6</v>
      </c>
      <c r="J936" s="22">
        <f t="shared" si="9"/>
        <v>4546.2000000000007</v>
      </c>
      <c r="K936" s="9">
        <f t="array" ref="K936">QUARTILE(IF($F$3:$F$1460=$F936,$H$3:$H$1460),1)</f>
        <v>55.5</v>
      </c>
      <c r="L936" s="9">
        <f t="array" ref="L936">QUARTILE(IF($F$3:$F$1460=$F936,$H$3:$H$1460),2)</f>
        <v>91.88</v>
      </c>
      <c r="M936" s="9">
        <f t="array" ref="M936">QUARTILE(IF($F$3:$F$1460=$F936,$H$3:$H$1460),3)</f>
        <v>148.36000000000001</v>
      </c>
    </row>
    <row r="937" spans="1:14" x14ac:dyDescent="0.25">
      <c r="A937" s="7">
        <v>977</v>
      </c>
      <c r="B937" s="6" t="s">
        <v>890</v>
      </c>
      <c r="C937" s="7">
        <v>3888033</v>
      </c>
      <c r="D937" s="23" t="s">
        <v>891</v>
      </c>
      <c r="E937" s="6" t="s">
        <v>892</v>
      </c>
      <c r="F937" s="21" t="s">
        <v>31</v>
      </c>
      <c r="G937" s="6" t="s">
        <v>898</v>
      </c>
      <c r="H937" s="22">
        <v>198</v>
      </c>
      <c r="I937" s="9">
        <v>20</v>
      </c>
      <c r="J937" s="22">
        <f t="shared" si="9"/>
        <v>3960</v>
      </c>
      <c r="K937" s="9">
        <f t="array" ref="K937">QUARTILE(IF($F$3:$F$1460=$F937,$H$3:$H$1460),1)</f>
        <v>55.5</v>
      </c>
      <c r="L937" s="9">
        <f t="array" ref="L937">QUARTILE(IF($F$3:$F$1460=$F937,$H$3:$H$1460),2)</f>
        <v>91.88</v>
      </c>
      <c r="M937" s="9">
        <f t="array" ref="M937">QUARTILE(IF($F$3:$F$1460=$F937,$H$3:$H$1460),3)</f>
        <v>148.36000000000001</v>
      </c>
    </row>
    <row r="938" spans="1:14" x14ac:dyDescent="0.25">
      <c r="A938" s="7">
        <v>978</v>
      </c>
      <c r="B938" s="6" t="s">
        <v>890</v>
      </c>
      <c r="C938" s="7">
        <v>3888033</v>
      </c>
      <c r="D938" s="23" t="s">
        <v>891</v>
      </c>
      <c r="E938" s="6" t="s">
        <v>892</v>
      </c>
      <c r="F938" s="21" t="s">
        <v>31</v>
      </c>
      <c r="G938" s="6" t="s">
        <v>900</v>
      </c>
      <c r="H938" s="22">
        <v>83.9</v>
      </c>
      <c r="I938" s="9">
        <v>3</v>
      </c>
      <c r="J938" s="22">
        <f t="shared" si="9"/>
        <v>251.70000000000002</v>
      </c>
      <c r="K938" s="9">
        <f t="array" ref="K938">QUARTILE(IF($F$3:$F$1460=$F938,$H$3:$H$1460),1)</f>
        <v>55.5</v>
      </c>
      <c r="L938" s="9">
        <f t="array" ref="L938">QUARTILE(IF($F$3:$F$1460=$F938,$H$3:$H$1460),2)</f>
        <v>91.88</v>
      </c>
      <c r="M938" s="9">
        <f t="array" ref="M938">QUARTILE(IF($F$3:$F$1460=$F938,$H$3:$H$1460),3)</f>
        <v>148.36000000000001</v>
      </c>
    </row>
    <row r="939" spans="1:14" x14ac:dyDescent="0.25">
      <c r="A939" s="7">
        <v>979</v>
      </c>
      <c r="B939" s="6" t="s">
        <v>890</v>
      </c>
      <c r="C939" s="7">
        <v>3888033</v>
      </c>
      <c r="D939" s="23" t="s">
        <v>891</v>
      </c>
      <c r="E939" s="6" t="s">
        <v>892</v>
      </c>
      <c r="F939" s="21" t="s">
        <v>8</v>
      </c>
      <c r="G939" s="6" t="s">
        <v>901</v>
      </c>
      <c r="H939" s="22">
        <v>18.3</v>
      </c>
      <c r="I939" s="9">
        <v>12</v>
      </c>
      <c r="J939" s="22">
        <f t="shared" si="9"/>
        <v>219.60000000000002</v>
      </c>
      <c r="K939" s="9">
        <f t="array" ref="K939">QUARTILE(IF($F$3:$F$1460=$F939,$H$3:$H$1460),1)</f>
        <v>4.9000000000000004</v>
      </c>
      <c r="L939" s="9">
        <f t="array" ref="L939">QUARTILE(IF($F$3:$F$1460=$F939,$H$3:$H$1460),2)</f>
        <v>8.4</v>
      </c>
      <c r="M939" s="9">
        <f t="array" ref="M939">QUARTILE(IF($F$3:$F$1460=$F939,$H$3:$H$1460),3)</f>
        <v>14</v>
      </c>
    </row>
    <row r="940" spans="1:14" x14ac:dyDescent="0.25">
      <c r="A940" s="7">
        <v>980</v>
      </c>
      <c r="B940" s="6" t="s">
        <v>890</v>
      </c>
      <c r="C940" s="7">
        <v>3888033</v>
      </c>
      <c r="D940" s="23" t="s">
        <v>891</v>
      </c>
      <c r="E940" s="6" t="s">
        <v>892</v>
      </c>
      <c r="F940" s="21" t="s">
        <v>8</v>
      </c>
      <c r="G940" s="6" t="s">
        <v>902</v>
      </c>
      <c r="H940" s="22">
        <v>98.85</v>
      </c>
      <c r="I940" s="9">
        <v>4</v>
      </c>
      <c r="J940" s="22">
        <f t="shared" si="9"/>
        <v>395.4</v>
      </c>
      <c r="K940" s="9">
        <f t="array" ref="K940">QUARTILE(IF($F$3:$F$1460=$F940,$H$3:$H$1460),1)</f>
        <v>4.9000000000000004</v>
      </c>
      <c r="L940" s="9">
        <f t="array" ref="L940">QUARTILE(IF($F$3:$F$1460=$F940,$H$3:$H$1460),2)</f>
        <v>8.4</v>
      </c>
      <c r="M940" s="9">
        <f t="array" ref="M940">QUARTILE(IF($F$3:$F$1460=$F940,$H$3:$H$1460),3)</f>
        <v>14</v>
      </c>
    </row>
    <row r="941" spans="1:14" x14ac:dyDescent="0.25">
      <c r="A941" s="7">
        <v>981</v>
      </c>
      <c r="B941" s="6" t="s">
        <v>890</v>
      </c>
      <c r="C941" s="7">
        <v>3888033</v>
      </c>
      <c r="D941" s="23" t="s">
        <v>891</v>
      </c>
      <c r="E941" s="6" t="s">
        <v>892</v>
      </c>
      <c r="F941" s="21" t="s">
        <v>12</v>
      </c>
      <c r="G941" s="6" t="s">
        <v>903</v>
      </c>
      <c r="H941" s="22">
        <v>3.4</v>
      </c>
      <c r="I941" s="9">
        <v>2</v>
      </c>
      <c r="J941" s="22">
        <f t="shared" si="9"/>
        <v>6.8</v>
      </c>
      <c r="K941" s="9">
        <f t="array" ref="K941">QUARTILE(IF($F$3:$F$1460=$F941,$H$3:$H$1460),1)</f>
        <v>10.059999999999999</v>
      </c>
      <c r="L941" s="9">
        <f t="array" ref="L941">QUARTILE(IF($F$3:$F$1460=$F941,$H$3:$H$1460),2)</f>
        <v>22.94</v>
      </c>
      <c r="M941" s="9">
        <f t="array" ref="M941">QUARTILE(IF($F$3:$F$1460=$F941,$H$3:$H$1460),3)</f>
        <v>48.75</v>
      </c>
    </row>
    <row r="942" spans="1:14" x14ac:dyDescent="0.25">
      <c r="A942" s="7">
        <v>982</v>
      </c>
      <c r="B942" s="6" t="s">
        <v>890</v>
      </c>
      <c r="C942" s="7">
        <v>3888033</v>
      </c>
      <c r="D942" s="23" t="s">
        <v>891</v>
      </c>
      <c r="E942" s="6" t="s">
        <v>892</v>
      </c>
      <c r="F942" s="21" t="s">
        <v>12</v>
      </c>
      <c r="G942" s="6" t="s">
        <v>904</v>
      </c>
      <c r="H942" s="22">
        <v>55.2</v>
      </c>
      <c r="I942" s="9">
        <v>3</v>
      </c>
      <c r="J942" s="22">
        <f t="shared" si="9"/>
        <v>165.60000000000002</v>
      </c>
      <c r="K942" s="9">
        <f t="array" ref="K942">QUARTILE(IF($F$3:$F$1460=$F942,$H$3:$H$1460),1)</f>
        <v>10.059999999999999</v>
      </c>
      <c r="L942" s="9">
        <f t="array" ref="L942">QUARTILE(IF($F$3:$F$1460=$F942,$H$3:$H$1460),2)</f>
        <v>22.94</v>
      </c>
      <c r="M942" s="9">
        <f t="array" ref="M942">QUARTILE(IF($F$3:$F$1460=$F942,$H$3:$H$1460),3)</f>
        <v>48.75</v>
      </c>
    </row>
    <row r="943" spans="1:14" x14ac:dyDescent="0.25">
      <c r="A943" s="7">
        <v>983</v>
      </c>
      <c r="B943" s="6" t="s">
        <v>890</v>
      </c>
      <c r="C943" s="7">
        <v>3888033</v>
      </c>
      <c r="D943" s="23" t="s">
        <v>891</v>
      </c>
      <c r="E943" s="6" t="s">
        <v>892</v>
      </c>
      <c r="F943" s="21" t="s">
        <v>12</v>
      </c>
      <c r="G943" s="6" t="s">
        <v>905</v>
      </c>
      <c r="H943" s="22">
        <v>57.7</v>
      </c>
      <c r="I943" s="9">
        <v>5</v>
      </c>
      <c r="J943" s="22">
        <f t="shared" si="9"/>
        <v>288.5</v>
      </c>
      <c r="K943" s="9">
        <f t="array" ref="K943">QUARTILE(IF($F$3:$F$1460=$F943,$H$3:$H$1460),1)</f>
        <v>10.059999999999999</v>
      </c>
      <c r="L943" s="9">
        <f t="array" ref="L943">QUARTILE(IF($F$3:$F$1460=$F943,$H$3:$H$1460),2)</f>
        <v>22.94</v>
      </c>
      <c r="M943" s="9">
        <f t="array" ref="M943">QUARTILE(IF($F$3:$F$1460=$F943,$H$3:$H$1460),3)</f>
        <v>48.75</v>
      </c>
    </row>
    <row r="944" spans="1:14" x14ac:dyDescent="0.25">
      <c r="A944" s="7">
        <v>984</v>
      </c>
      <c r="B944" s="6" t="s">
        <v>890</v>
      </c>
      <c r="C944" s="7">
        <v>3888033</v>
      </c>
      <c r="D944" s="23" t="s">
        <v>891</v>
      </c>
      <c r="E944" s="6" t="s">
        <v>892</v>
      </c>
      <c r="F944" s="21" t="s">
        <v>12</v>
      </c>
      <c r="G944" s="6" t="s">
        <v>906</v>
      </c>
      <c r="H944" s="22">
        <v>42.3</v>
      </c>
      <c r="I944" s="9">
        <v>3</v>
      </c>
      <c r="J944" s="22">
        <f t="shared" si="9"/>
        <v>126.89999999999999</v>
      </c>
      <c r="K944" s="9">
        <f t="array" ref="K944">QUARTILE(IF($F$3:$F$1460=$F944,$H$3:$H$1460),1)</f>
        <v>10.059999999999999</v>
      </c>
      <c r="L944" s="9">
        <f t="array" ref="L944">QUARTILE(IF($F$3:$F$1460=$F944,$H$3:$H$1460),2)</f>
        <v>22.94</v>
      </c>
      <c r="M944" s="9">
        <f t="array" ref="M944">QUARTILE(IF($F$3:$F$1460=$F944,$H$3:$H$1460),3)</f>
        <v>48.75</v>
      </c>
    </row>
    <row r="945" spans="1:13" x14ac:dyDescent="0.25">
      <c r="A945" s="7">
        <v>986</v>
      </c>
      <c r="B945" s="6" t="s">
        <v>890</v>
      </c>
      <c r="C945" s="7">
        <v>3888033</v>
      </c>
      <c r="D945" s="23" t="s">
        <v>891</v>
      </c>
      <c r="E945" s="6" t="s">
        <v>892</v>
      </c>
      <c r="F945" s="21" t="s">
        <v>17</v>
      </c>
      <c r="G945" s="6" t="s">
        <v>907</v>
      </c>
      <c r="H945" s="22">
        <v>6.1</v>
      </c>
      <c r="I945" s="9">
        <v>4</v>
      </c>
      <c r="J945" s="22">
        <f t="shared" si="9"/>
        <v>24.4</v>
      </c>
      <c r="K945" s="9">
        <f t="array" ref="K945">QUARTILE(IF($F$3:$F$1460=$F945,$H$3:$H$1460),1)</f>
        <v>17.549999999999997</v>
      </c>
      <c r="L945" s="9">
        <f t="array" ref="L945">QUARTILE(IF($F$3:$F$1460=$F945,$H$3:$H$1460),2)</f>
        <v>275.8</v>
      </c>
      <c r="M945" s="9">
        <f t="array" ref="M945">QUARTILE(IF($F$3:$F$1460=$F945,$H$3:$H$1460),3)</f>
        <v>11191.057499999999</v>
      </c>
    </row>
    <row r="946" spans="1:13" x14ac:dyDescent="0.25">
      <c r="A946" s="7">
        <v>987</v>
      </c>
      <c r="B946" s="6" t="s">
        <v>890</v>
      </c>
      <c r="C946" s="7">
        <v>3888033</v>
      </c>
      <c r="D946" s="23" t="s">
        <v>891</v>
      </c>
      <c r="E946" s="6" t="s">
        <v>892</v>
      </c>
      <c r="F946" s="21" t="s">
        <v>17</v>
      </c>
      <c r="G946" s="6" t="s">
        <v>908</v>
      </c>
      <c r="H946" s="22">
        <v>22.8</v>
      </c>
      <c r="I946" s="9">
        <v>12</v>
      </c>
      <c r="J946" s="22">
        <f t="shared" si="9"/>
        <v>273.60000000000002</v>
      </c>
      <c r="K946" s="9">
        <f t="array" ref="K946">QUARTILE(IF($F$3:$F$1460=$F946,$H$3:$H$1460),1)</f>
        <v>17.549999999999997</v>
      </c>
      <c r="L946" s="9">
        <f t="array" ref="L946">QUARTILE(IF($F$3:$F$1460=$F946,$H$3:$H$1460),2)</f>
        <v>275.8</v>
      </c>
      <c r="M946" s="9">
        <f t="array" ref="M946">QUARTILE(IF($F$3:$F$1460=$F946,$H$3:$H$1460),3)</f>
        <v>11191.057499999999</v>
      </c>
    </row>
    <row r="947" spans="1:13" x14ac:dyDescent="0.25">
      <c r="A947" s="7">
        <v>988</v>
      </c>
      <c r="B947" s="6" t="s">
        <v>890</v>
      </c>
      <c r="C947" s="7">
        <v>3888033</v>
      </c>
      <c r="D947" s="23" t="s">
        <v>891</v>
      </c>
      <c r="E947" s="6" t="s">
        <v>892</v>
      </c>
      <c r="F947" s="21" t="s">
        <v>6</v>
      </c>
      <c r="G947" s="6" t="s">
        <v>909</v>
      </c>
      <c r="H947" s="22">
        <v>13.3</v>
      </c>
      <c r="I947" s="9">
        <v>3</v>
      </c>
      <c r="J947" s="22">
        <f t="shared" si="9"/>
        <v>39.900000000000006</v>
      </c>
      <c r="K947" s="9">
        <f t="array" ref="K947">QUARTILE(IF($F$3:$F$1460=$F947,$H$3:$H$1460),1)</f>
        <v>4.25</v>
      </c>
      <c r="L947" s="9">
        <f t="array" ref="L947">QUARTILE(IF($F$3:$F$1460=$F947,$H$3:$H$1460),2)</f>
        <v>6.12</v>
      </c>
      <c r="M947" s="9">
        <f t="array" ref="M947">QUARTILE(IF($F$3:$F$1460=$F947,$H$3:$H$1460),3)</f>
        <v>13.55</v>
      </c>
    </row>
    <row r="948" spans="1:13" x14ac:dyDescent="0.25">
      <c r="A948" s="7">
        <v>989</v>
      </c>
      <c r="B948" s="6" t="s">
        <v>890</v>
      </c>
      <c r="C948" s="7">
        <v>3888033</v>
      </c>
      <c r="D948" s="23" t="s">
        <v>891</v>
      </c>
      <c r="E948" s="6" t="s">
        <v>892</v>
      </c>
      <c r="F948" s="21" t="s">
        <v>6</v>
      </c>
      <c r="G948" s="6" t="s">
        <v>910</v>
      </c>
      <c r="H948" s="22">
        <v>13.8</v>
      </c>
      <c r="I948" s="9">
        <v>3</v>
      </c>
      <c r="J948" s="22">
        <f t="shared" si="9"/>
        <v>41.400000000000006</v>
      </c>
      <c r="K948" s="9">
        <f t="array" ref="K948">QUARTILE(IF($F$3:$F$1460=$F948,$H$3:$H$1460),1)</f>
        <v>4.25</v>
      </c>
      <c r="L948" s="9">
        <f t="array" ref="L948">QUARTILE(IF($F$3:$F$1460=$F948,$H$3:$H$1460),2)</f>
        <v>6.12</v>
      </c>
      <c r="M948" s="9">
        <f t="array" ref="M948">QUARTILE(IF($F$3:$F$1460=$F948,$H$3:$H$1460),3)</f>
        <v>13.55</v>
      </c>
    </row>
    <row r="949" spans="1:13" x14ac:dyDescent="0.25">
      <c r="A949" s="7">
        <v>990</v>
      </c>
      <c r="B949" s="6" t="s">
        <v>890</v>
      </c>
      <c r="C949" s="7">
        <v>3888033</v>
      </c>
      <c r="D949" s="23" t="s">
        <v>891</v>
      </c>
      <c r="E949" s="6" t="s">
        <v>892</v>
      </c>
      <c r="F949" s="21" t="s">
        <v>17</v>
      </c>
      <c r="G949" s="6" t="s">
        <v>911</v>
      </c>
      <c r="H949" s="22">
        <v>101.5</v>
      </c>
      <c r="I949" s="9">
        <v>3</v>
      </c>
      <c r="J949" s="22">
        <f t="shared" si="9"/>
        <v>304.5</v>
      </c>
      <c r="K949" s="9">
        <f t="array" ref="K949">QUARTILE(IF($F$3:$F$1460=$F949,$H$3:$H$1460),1)</f>
        <v>17.549999999999997</v>
      </c>
      <c r="L949" s="9">
        <f t="array" ref="L949">QUARTILE(IF($F$3:$F$1460=$F949,$H$3:$H$1460),2)</f>
        <v>275.8</v>
      </c>
      <c r="M949" s="9">
        <f t="array" ref="M949">QUARTILE(IF($F$3:$F$1460=$F949,$H$3:$H$1460),3)</f>
        <v>11191.057499999999</v>
      </c>
    </row>
    <row r="950" spans="1:13" x14ac:dyDescent="0.25">
      <c r="A950" s="7">
        <v>991</v>
      </c>
      <c r="B950" s="6" t="s">
        <v>890</v>
      </c>
      <c r="C950" s="7">
        <v>3888033</v>
      </c>
      <c r="D950" s="23" t="s">
        <v>891</v>
      </c>
      <c r="E950" s="6" t="s">
        <v>892</v>
      </c>
      <c r="F950" s="21" t="s">
        <v>29</v>
      </c>
      <c r="G950" s="6" t="s">
        <v>912</v>
      </c>
      <c r="H950" s="22">
        <v>41.7</v>
      </c>
      <c r="I950" s="9">
        <v>1</v>
      </c>
      <c r="J950" s="22">
        <f t="shared" si="9"/>
        <v>41.7</v>
      </c>
      <c r="K950" s="9">
        <f t="array" ref="K950">QUARTILE(IF($F$3:$F$1460=$F950,$H$3:$H$1460),1)</f>
        <v>41.7</v>
      </c>
      <c r="L950" s="9">
        <f t="array" ref="L950">QUARTILE(IF($F$3:$F$1460=$F950,$H$3:$H$1460),2)</f>
        <v>41.7</v>
      </c>
      <c r="M950" s="9">
        <f t="array" ref="M950">QUARTILE(IF($F$3:$F$1460=$F950,$H$3:$H$1460),3)</f>
        <v>41.7</v>
      </c>
    </row>
    <row r="951" spans="1:13" x14ac:dyDescent="0.25">
      <c r="A951" s="7">
        <v>992</v>
      </c>
      <c r="B951" s="6" t="s">
        <v>890</v>
      </c>
      <c r="C951" s="7">
        <v>3888033</v>
      </c>
      <c r="D951" s="23" t="s">
        <v>891</v>
      </c>
      <c r="E951" s="6" t="s">
        <v>892</v>
      </c>
      <c r="F951" s="21" t="s">
        <v>32</v>
      </c>
      <c r="G951" s="6" t="s">
        <v>913</v>
      </c>
      <c r="H951" s="22">
        <v>272.60000000000002</v>
      </c>
      <c r="I951" s="9">
        <v>15</v>
      </c>
      <c r="J951" s="22">
        <f t="shared" si="9"/>
        <v>4089.0000000000005</v>
      </c>
      <c r="K951" s="9">
        <f t="array" ref="K951">QUARTILE(IF($F$3:$F$1460=$F951,$H$3:$H$1460),1)</f>
        <v>59.227499999999999</v>
      </c>
      <c r="L951" s="9">
        <f t="array" ref="L951">QUARTILE(IF($F$3:$F$1460=$F951,$H$3:$H$1460),2)</f>
        <v>332.14</v>
      </c>
      <c r="M951" s="9">
        <f t="array" ref="M951">QUARTILE(IF($F$3:$F$1460=$F951,$H$3:$H$1460),3)</f>
        <v>1331.8050000000001</v>
      </c>
    </row>
    <row r="952" spans="1:13" x14ac:dyDescent="0.25">
      <c r="A952" s="7">
        <v>993</v>
      </c>
      <c r="B952" s="6" t="s">
        <v>890</v>
      </c>
      <c r="C952" s="7">
        <v>3888033</v>
      </c>
      <c r="D952" s="23" t="s">
        <v>891</v>
      </c>
      <c r="E952" s="6" t="s">
        <v>892</v>
      </c>
      <c r="F952" s="21" t="s">
        <v>17</v>
      </c>
      <c r="G952" s="6" t="s">
        <v>914</v>
      </c>
      <c r="H952" s="22">
        <v>3504</v>
      </c>
      <c r="I952" s="9">
        <v>4</v>
      </c>
      <c r="J952" s="22">
        <f t="shared" si="9"/>
        <v>14016</v>
      </c>
      <c r="K952" s="9">
        <f t="array" ref="K952">QUARTILE(IF($F$3:$F$1460=$F952,$H$3:$H$1460),1)</f>
        <v>17.549999999999997</v>
      </c>
      <c r="L952" s="9">
        <f t="array" ref="L952">QUARTILE(IF($F$3:$F$1460=$F952,$H$3:$H$1460),2)</f>
        <v>275.8</v>
      </c>
      <c r="M952" s="9">
        <f t="array" ref="M952">QUARTILE(IF($F$3:$F$1460=$F952,$H$3:$H$1460),3)</f>
        <v>11191.057499999999</v>
      </c>
    </row>
    <row r="953" spans="1:13" x14ac:dyDescent="0.25">
      <c r="A953" s="7">
        <v>994</v>
      </c>
      <c r="B953" s="6" t="s">
        <v>890</v>
      </c>
      <c r="C953" s="7">
        <v>3888033</v>
      </c>
      <c r="D953" s="23" t="s">
        <v>891</v>
      </c>
      <c r="E953" s="6" t="s">
        <v>892</v>
      </c>
      <c r="F953" s="21" t="s">
        <v>17</v>
      </c>
      <c r="G953" s="6" t="s">
        <v>915</v>
      </c>
      <c r="H953" s="22">
        <v>18</v>
      </c>
      <c r="I953" s="9">
        <v>8</v>
      </c>
      <c r="J953" s="22">
        <f t="shared" si="9"/>
        <v>144</v>
      </c>
      <c r="K953" s="9">
        <f t="array" ref="K953">QUARTILE(IF($F$3:$F$1460=$F953,$H$3:$H$1460),1)</f>
        <v>17.549999999999997</v>
      </c>
      <c r="L953" s="9">
        <f t="array" ref="L953">QUARTILE(IF($F$3:$F$1460=$F953,$H$3:$H$1460),2)</f>
        <v>275.8</v>
      </c>
      <c r="M953" s="9">
        <f t="array" ref="M953">QUARTILE(IF($F$3:$F$1460=$F953,$H$3:$H$1460),3)</f>
        <v>11191.057499999999</v>
      </c>
    </row>
    <row r="954" spans="1:13" x14ac:dyDescent="0.25">
      <c r="A954" s="7">
        <v>995</v>
      </c>
      <c r="B954" s="6" t="s">
        <v>890</v>
      </c>
      <c r="C954" s="7">
        <v>3888033</v>
      </c>
      <c r="D954" s="23" t="s">
        <v>891</v>
      </c>
      <c r="E954" s="6" t="s">
        <v>892</v>
      </c>
      <c r="F954" s="21" t="s">
        <v>17</v>
      </c>
      <c r="G954" s="6" t="s">
        <v>915</v>
      </c>
      <c r="H954" s="22">
        <v>21.2</v>
      </c>
      <c r="I954" s="9">
        <v>8</v>
      </c>
      <c r="J954" s="22">
        <f t="shared" si="9"/>
        <v>169.6</v>
      </c>
      <c r="K954" s="9">
        <f t="array" ref="K954">QUARTILE(IF($F$3:$F$1460=$F954,$H$3:$H$1460),1)</f>
        <v>17.549999999999997</v>
      </c>
      <c r="L954" s="9">
        <f t="array" ref="L954">QUARTILE(IF($F$3:$F$1460=$F954,$H$3:$H$1460),2)</f>
        <v>275.8</v>
      </c>
      <c r="M954" s="9">
        <f t="array" ref="M954">QUARTILE(IF($F$3:$F$1460=$F954,$H$3:$H$1460),3)</f>
        <v>11191.057499999999</v>
      </c>
    </row>
    <row r="955" spans="1:13" x14ac:dyDescent="0.25">
      <c r="A955" s="7">
        <v>996</v>
      </c>
      <c r="B955" s="6" t="s">
        <v>890</v>
      </c>
      <c r="C955" s="7">
        <v>3888033</v>
      </c>
      <c r="D955" s="23" t="s">
        <v>891</v>
      </c>
      <c r="E955" s="6" t="s">
        <v>892</v>
      </c>
      <c r="F955" s="21" t="s">
        <v>17</v>
      </c>
      <c r="G955" s="6" t="s">
        <v>916</v>
      </c>
      <c r="H955" s="22">
        <v>20.399999999999999</v>
      </c>
      <c r="I955" s="9">
        <v>3</v>
      </c>
      <c r="J955" s="22">
        <f t="shared" si="9"/>
        <v>61.199999999999996</v>
      </c>
      <c r="K955" s="9">
        <f t="array" ref="K955">QUARTILE(IF($F$3:$F$1460=$F955,$H$3:$H$1460),1)</f>
        <v>17.549999999999997</v>
      </c>
      <c r="L955" s="9">
        <f t="array" ref="L955">QUARTILE(IF($F$3:$F$1460=$F955,$H$3:$H$1460),2)</f>
        <v>275.8</v>
      </c>
      <c r="M955" s="9">
        <f t="array" ref="M955">QUARTILE(IF($F$3:$F$1460=$F955,$H$3:$H$1460),3)</f>
        <v>11191.057499999999</v>
      </c>
    </row>
    <row r="956" spans="1:13" x14ac:dyDescent="0.25">
      <c r="A956" s="7">
        <v>997</v>
      </c>
      <c r="B956" s="6" t="s">
        <v>917</v>
      </c>
      <c r="C956" s="7">
        <v>3850157</v>
      </c>
      <c r="D956" s="23" t="s">
        <v>918</v>
      </c>
      <c r="E956" s="6" t="s">
        <v>919</v>
      </c>
      <c r="F956" s="21" t="s">
        <v>48</v>
      </c>
      <c r="G956" s="6" t="s">
        <v>920</v>
      </c>
      <c r="H956" s="22">
        <v>160</v>
      </c>
      <c r="I956" s="9">
        <v>16</v>
      </c>
      <c r="J956" s="22">
        <f t="shared" si="9"/>
        <v>2560</v>
      </c>
      <c r="K956" s="9">
        <f t="array" ref="K956">QUARTILE(IF($F$3:$F$1460=$F956,$H$3:$H$1460),1)</f>
        <v>280</v>
      </c>
      <c r="L956" s="9">
        <f t="array" ref="L956">QUARTILE(IF($F$3:$F$1460=$F956,$H$3:$H$1460),2)</f>
        <v>400</v>
      </c>
      <c r="M956" s="9">
        <f t="array" ref="M956">QUARTILE(IF($F$3:$F$1460=$F956,$H$3:$H$1460),3)</f>
        <v>550</v>
      </c>
    </row>
    <row r="957" spans="1:13" x14ac:dyDescent="0.25">
      <c r="A957" s="7">
        <v>998</v>
      </c>
      <c r="B957" s="6" t="s">
        <v>917</v>
      </c>
      <c r="C957" s="7">
        <v>3850157</v>
      </c>
      <c r="D957" s="23" t="s">
        <v>918</v>
      </c>
      <c r="E957" s="6" t="s">
        <v>919</v>
      </c>
      <c r="F957" s="21" t="s">
        <v>48</v>
      </c>
      <c r="G957" s="6" t="s">
        <v>921</v>
      </c>
      <c r="H957" s="22">
        <v>400</v>
      </c>
      <c r="I957" s="9">
        <v>1</v>
      </c>
      <c r="J957" s="22">
        <f t="shared" si="9"/>
        <v>400</v>
      </c>
      <c r="K957" s="9">
        <f t="array" ref="K957">QUARTILE(IF($F$3:$F$1460=$F957,$H$3:$H$1460),1)</f>
        <v>280</v>
      </c>
      <c r="L957" s="9">
        <f t="array" ref="L957">QUARTILE(IF($F$3:$F$1460=$F957,$H$3:$H$1460),2)</f>
        <v>400</v>
      </c>
      <c r="M957" s="9">
        <f t="array" ref="M957">QUARTILE(IF($F$3:$F$1460=$F957,$H$3:$H$1460),3)</f>
        <v>550</v>
      </c>
    </row>
    <row r="958" spans="1:13" x14ac:dyDescent="0.25">
      <c r="A958" s="7">
        <v>999</v>
      </c>
      <c r="B958" s="6" t="s">
        <v>917</v>
      </c>
      <c r="C958" s="7">
        <v>3850157</v>
      </c>
      <c r="D958" s="23" t="s">
        <v>918</v>
      </c>
      <c r="E958" s="6" t="s">
        <v>919</v>
      </c>
      <c r="F958" s="21" t="s">
        <v>48</v>
      </c>
      <c r="G958" s="6" t="s">
        <v>922</v>
      </c>
      <c r="H958" s="22">
        <v>700</v>
      </c>
      <c r="I958" s="9">
        <v>5</v>
      </c>
      <c r="J958" s="22">
        <f t="shared" si="9"/>
        <v>3500</v>
      </c>
      <c r="K958" s="9">
        <f t="array" ref="K958">QUARTILE(IF($F$3:$F$1460=$F958,$H$3:$H$1460),1)</f>
        <v>280</v>
      </c>
      <c r="L958" s="9">
        <f t="array" ref="L958">QUARTILE(IF($F$3:$F$1460=$F958,$H$3:$H$1460),2)</f>
        <v>400</v>
      </c>
      <c r="M958" s="9">
        <f t="array" ref="M958">QUARTILE(IF($F$3:$F$1460=$F958,$H$3:$H$1460),3)</f>
        <v>550</v>
      </c>
    </row>
    <row r="959" spans="1:13" x14ac:dyDescent="0.25">
      <c r="A959" s="7">
        <v>1000</v>
      </c>
      <c r="B959" s="6" t="s">
        <v>917</v>
      </c>
      <c r="C959" s="7">
        <v>3850157</v>
      </c>
      <c r="D959" s="23" t="s">
        <v>918</v>
      </c>
      <c r="E959" s="6" t="s">
        <v>919</v>
      </c>
      <c r="F959" s="21" t="s">
        <v>28</v>
      </c>
      <c r="G959" s="6" t="s">
        <v>923</v>
      </c>
      <c r="H959" s="22">
        <v>100</v>
      </c>
      <c r="I959" s="9">
        <v>60</v>
      </c>
      <c r="J959" s="22">
        <f t="shared" si="9"/>
        <v>6000</v>
      </c>
      <c r="K959" s="9">
        <f t="array" ref="K959">QUARTILE(IF($F$3:$F$1460=$F959,$H$3:$H$1460),1)</f>
        <v>40.5</v>
      </c>
      <c r="L959" s="9">
        <f t="array" ref="L959">QUARTILE(IF($F$3:$F$1460=$F959,$H$3:$H$1460),2)</f>
        <v>43.39</v>
      </c>
      <c r="M959" s="9">
        <f t="array" ref="M959">QUARTILE(IF($F$3:$F$1460=$F959,$H$3:$H$1460),3)</f>
        <v>69.25</v>
      </c>
    </row>
    <row r="960" spans="1:13" x14ac:dyDescent="0.25">
      <c r="A960" s="7">
        <v>1001</v>
      </c>
      <c r="B960" s="6" t="s">
        <v>917</v>
      </c>
      <c r="C960" s="7">
        <v>3850157</v>
      </c>
      <c r="D960" s="23" t="s">
        <v>918</v>
      </c>
      <c r="E960" s="6" t="s">
        <v>919</v>
      </c>
      <c r="F960" s="21" t="s">
        <v>17</v>
      </c>
      <c r="G960" s="6" t="s">
        <v>924</v>
      </c>
      <c r="H960" s="22">
        <v>12</v>
      </c>
      <c r="I960" s="9">
        <v>60</v>
      </c>
      <c r="J960" s="22">
        <f t="shared" si="9"/>
        <v>720</v>
      </c>
      <c r="K960" s="9">
        <f t="array" ref="K960">QUARTILE(IF($F$3:$F$1460=$F960,$H$3:$H$1460),1)</f>
        <v>17.549999999999997</v>
      </c>
      <c r="L960" s="9">
        <f t="array" ref="L960">QUARTILE(IF($F$3:$F$1460=$F960,$H$3:$H$1460),2)</f>
        <v>275.8</v>
      </c>
      <c r="M960" s="9">
        <f t="array" ref="M960">QUARTILE(IF($F$3:$F$1460=$F960,$H$3:$H$1460),3)</f>
        <v>11191.057499999999</v>
      </c>
    </row>
    <row r="961" spans="1:13" x14ac:dyDescent="0.25">
      <c r="A961" s="7">
        <v>1002</v>
      </c>
      <c r="B961" s="6" t="s">
        <v>917</v>
      </c>
      <c r="C961" s="7">
        <v>3850157</v>
      </c>
      <c r="D961" s="23" t="s">
        <v>918</v>
      </c>
      <c r="E961" s="6" t="s">
        <v>919</v>
      </c>
      <c r="F961" s="21" t="s">
        <v>580</v>
      </c>
      <c r="G961" s="6" t="s">
        <v>925</v>
      </c>
      <c r="H961" s="22">
        <v>3017.97</v>
      </c>
      <c r="I961" s="9">
        <v>3</v>
      </c>
      <c r="J961" s="22">
        <f t="shared" si="9"/>
        <v>9053.91</v>
      </c>
      <c r="K961" s="9">
        <f t="array" ref="K961">QUARTILE(IF($F$3:$F$1460=$F961,$H$3:$H$1460),1)</f>
        <v>1759.125</v>
      </c>
      <c r="L961" s="9">
        <f t="array" ref="L961">QUARTILE(IF($F$3:$F$1460=$F961,$H$3:$H$1460),2)</f>
        <v>3923.7249999999999</v>
      </c>
      <c r="M961" s="9">
        <f t="array" ref="M961">QUARTILE(IF($F$3:$F$1460=$F961,$H$3:$H$1460),3)</f>
        <v>12062.504999999999</v>
      </c>
    </row>
    <row r="962" spans="1:13" x14ac:dyDescent="0.25">
      <c r="A962" s="7">
        <v>1003</v>
      </c>
      <c r="B962" s="6" t="s">
        <v>917</v>
      </c>
      <c r="C962" s="7">
        <v>3850157</v>
      </c>
      <c r="D962" s="23" t="s">
        <v>918</v>
      </c>
      <c r="E962" s="6" t="s">
        <v>919</v>
      </c>
      <c r="F962" s="21" t="s">
        <v>580</v>
      </c>
      <c r="G962" s="6" t="s">
        <v>925</v>
      </c>
      <c r="H962" s="22">
        <v>2047.08</v>
      </c>
      <c r="I962" s="9">
        <v>13</v>
      </c>
      <c r="J962" s="22">
        <f t="shared" si="9"/>
        <v>26612.04</v>
      </c>
      <c r="K962" s="9">
        <f t="array" ref="K962">QUARTILE(IF($F$3:$F$1460=$F962,$H$3:$H$1460),1)</f>
        <v>1759.125</v>
      </c>
      <c r="L962" s="9">
        <f t="array" ref="L962">QUARTILE(IF($F$3:$F$1460=$F962,$H$3:$H$1460),2)</f>
        <v>3923.7249999999999</v>
      </c>
      <c r="M962" s="9">
        <f t="array" ref="M962">QUARTILE(IF($F$3:$F$1460=$F962,$H$3:$H$1460),3)</f>
        <v>12062.504999999999</v>
      </c>
    </row>
    <row r="963" spans="1:13" x14ac:dyDescent="0.25">
      <c r="A963" s="7">
        <v>1004</v>
      </c>
      <c r="B963" s="6" t="s">
        <v>917</v>
      </c>
      <c r="C963" s="7">
        <v>3850157</v>
      </c>
      <c r="D963" s="23" t="s">
        <v>918</v>
      </c>
      <c r="E963" s="6" t="s">
        <v>919</v>
      </c>
      <c r="F963" s="21" t="s">
        <v>580</v>
      </c>
      <c r="G963" s="6" t="s">
        <v>926</v>
      </c>
      <c r="H963" s="22">
        <v>13495.22</v>
      </c>
      <c r="I963" s="9">
        <v>2</v>
      </c>
      <c r="J963" s="22">
        <f t="shared" si="9"/>
        <v>26990.44</v>
      </c>
      <c r="K963" s="9">
        <f t="array" ref="K963">QUARTILE(IF($F$3:$F$1460=$F963,$H$3:$H$1460),1)</f>
        <v>1759.125</v>
      </c>
      <c r="L963" s="9">
        <f t="array" ref="L963">QUARTILE(IF($F$3:$F$1460=$F963,$H$3:$H$1460),2)</f>
        <v>3923.7249999999999</v>
      </c>
      <c r="M963" s="9">
        <f t="array" ref="M963">QUARTILE(IF($F$3:$F$1460=$F963,$H$3:$H$1460),3)</f>
        <v>12062.504999999999</v>
      </c>
    </row>
    <row r="964" spans="1:13" x14ac:dyDescent="0.25">
      <c r="A964" s="7">
        <v>1005</v>
      </c>
      <c r="B964" s="6" t="s">
        <v>917</v>
      </c>
      <c r="C964" s="7">
        <v>3850157</v>
      </c>
      <c r="D964" s="23" t="s">
        <v>918</v>
      </c>
      <c r="E964" s="6" t="s">
        <v>919</v>
      </c>
      <c r="F964" s="21" t="s">
        <v>580</v>
      </c>
      <c r="G964" s="6" t="s">
        <v>927</v>
      </c>
      <c r="H964" s="22">
        <v>6282.09</v>
      </c>
      <c r="I964" s="9">
        <v>25</v>
      </c>
      <c r="J964" s="22">
        <f t="shared" si="9"/>
        <v>157052.25</v>
      </c>
      <c r="K964" s="9">
        <f t="array" ref="K964">QUARTILE(IF($F$3:$F$1460=$F964,$H$3:$H$1460),1)</f>
        <v>1759.125</v>
      </c>
      <c r="L964" s="9">
        <f t="array" ref="L964">QUARTILE(IF($F$3:$F$1460=$F964,$H$3:$H$1460),2)</f>
        <v>3923.7249999999999</v>
      </c>
      <c r="M964" s="9">
        <f t="array" ref="M964">QUARTILE(IF($F$3:$F$1460=$F964,$H$3:$H$1460),3)</f>
        <v>12062.504999999999</v>
      </c>
    </row>
    <row r="965" spans="1:13" x14ac:dyDescent="0.25">
      <c r="A965" s="7">
        <v>1006</v>
      </c>
      <c r="B965" s="6" t="s">
        <v>917</v>
      </c>
      <c r="C965" s="7">
        <v>3850157</v>
      </c>
      <c r="D965" s="23" t="s">
        <v>918</v>
      </c>
      <c r="E965" s="6" t="s">
        <v>919</v>
      </c>
      <c r="F965" s="21" t="s">
        <v>580</v>
      </c>
      <c r="G965" s="6" t="s">
        <v>928</v>
      </c>
      <c r="H965" s="22">
        <v>3703.99</v>
      </c>
      <c r="I965" s="9">
        <v>2</v>
      </c>
      <c r="J965" s="22">
        <f t="shared" si="9"/>
        <v>7407.98</v>
      </c>
      <c r="K965" s="9">
        <f t="array" ref="K965">QUARTILE(IF($F$3:$F$1460=$F965,$H$3:$H$1460),1)</f>
        <v>1759.125</v>
      </c>
      <c r="L965" s="9">
        <f t="array" ref="L965">QUARTILE(IF($F$3:$F$1460=$F965,$H$3:$H$1460),2)</f>
        <v>3923.7249999999999</v>
      </c>
      <c r="M965" s="9">
        <f t="array" ref="M965">QUARTILE(IF($F$3:$F$1460=$F965,$H$3:$H$1460),3)</f>
        <v>12062.504999999999</v>
      </c>
    </row>
    <row r="966" spans="1:13" x14ac:dyDescent="0.25">
      <c r="A966" s="7">
        <v>1007</v>
      </c>
      <c r="B966" s="6" t="s">
        <v>917</v>
      </c>
      <c r="C966" s="7">
        <v>3850157</v>
      </c>
      <c r="D966" s="23" t="s">
        <v>918</v>
      </c>
      <c r="E966" s="6" t="s">
        <v>919</v>
      </c>
      <c r="F966" s="21" t="s">
        <v>60</v>
      </c>
      <c r="G966" s="6" t="s">
        <v>929</v>
      </c>
      <c r="H966" s="22">
        <v>1733.8</v>
      </c>
      <c r="I966" s="9">
        <v>2</v>
      </c>
      <c r="J966" s="22">
        <f t="shared" si="9"/>
        <v>3467.6</v>
      </c>
      <c r="K966" s="9">
        <f t="array" ref="K966">QUARTILE(IF($F$3:$F$1460=$F966,$H$3:$H$1460),1)</f>
        <v>680</v>
      </c>
      <c r="L966" s="9">
        <f t="array" ref="L966">QUARTILE(IF($F$3:$F$1460=$F966,$H$3:$H$1460),2)</f>
        <v>991</v>
      </c>
      <c r="M966" s="9">
        <f t="array" ref="M966">QUARTILE(IF($F$3:$F$1460=$F966,$H$3:$H$1460),3)</f>
        <v>1485.8333333333335</v>
      </c>
    </row>
    <row r="967" spans="1:13" x14ac:dyDescent="0.25">
      <c r="A967" s="7">
        <v>1008</v>
      </c>
      <c r="B967" s="6" t="s">
        <v>917</v>
      </c>
      <c r="C967" s="7">
        <v>3850157</v>
      </c>
      <c r="D967" s="23" t="s">
        <v>918</v>
      </c>
      <c r="E967" s="6" t="s">
        <v>919</v>
      </c>
      <c r="F967" s="21" t="s">
        <v>44</v>
      </c>
      <c r="G967" s="6" t="s">
        <v>930</v>
      </c>
      <c r="H967" s="22">
        <v>631</v>
      </c>
      <c r="I967" s="9">
        <v>2</v>
      </c>
      <c r="J967" s="22">
        <f t="shared" si="9"/>
        <v>1262</v>
      </c>
      <c r="K967" s="9">
        <f t="array" ref="K967">QUARTILE(IF($F$3:$F$1460=$F967,$H$3:$H$1460),1)</f>
        <v>141.67500000000001</v>
      </c>
      <c r="L967" s="9">
        <f t="array" ref="L967">QUARTILE(IF($F$3:$F$1460=$F967,$H$3:$H$1460),2)</f>
        <v>194</v>
      </c>
      <c r="M967" s="9">
        <f t="array" ref="M967">QUARTILE(IF($F$3:$F$1460=$F967,$H$3:$H$1460),3)</f>
        <v>266.75</v>
      </c>
    </row>
    <row r="968" spans="1:13" x14ac:dyDescent="0.25">
      <c r="A968" s="7">
        <v>1009</v>
      </c>
      <c r="B968" s="6" t="s">
        <v>917</v>
      </c>
      <c r="C968" s="7">
        <v>3850157</v>
      </c>
      <c r="D968" s="23" t="s">
        <v>918</v>
      </c>
      <c r="E968" s="6" t="s">
        <v>919</v>
      </c>
      <c r="F968" s="21" t="s">
        <v>36</v>
      </c>
      <c r="G968" s="6" t="s">
        <v>931</v>
      </c>
      <c r="H968" s="22">
        <v>422.55</v>
      </c>
      <c r="I968" s="9">
        <v>100</v>
      </c>
      <c r="J968" s="22">
        <f t="shared" si="9"/>
        <v>42255</v>
      </c>
      <c r="K968" s="9">
        <f t="array" ref="K968">QUARTILE(IF($F$3:$F$1460=$F968,$H$3:$H$1460),1)</f>
        <v>88.21</v>
      </c>
      <c r="L968" s="9">
        <f t="array" ref="L968">QUARTILE(IF($F$3:$F$1460=$F968,$H$3:$H$1460),2)</f>
        <v>134.57</v>
      </c>
      <c r="M968" s="9">
        <f t="array" ref="M968">QUARTILE(IF($F$3:$F$1460=$F968,$H$3:$H$1460),3)</f>
        <v>252.7</v>
      </c>
    </row>
    <row r="969" spans="1:13" x14ac:dyDescent="0.25">
      <c r="A969" s="7">
        <v>1010</v>
      </c>
      <c r="B969" s="6" t="s">
        <v>932</v>
      </c>
      <c r="C969" s="7">
        <v>5827349</v>
      </c>
      <c r="D969" s="23" t="s">
        <v>933</v>
      </c>
      <c r="E969" s="6" t="s">
        <v>934</v>
      </c>
      <c r="F969" s="21" t="s">
        <v>60</v>
      </c>
      <c r="G969" s="6" t="s">
        <v>935</v>
      </c>
      <c r="H969" s="22">
        <v>661</v>
      </c>
      <c r="I969" s="9">
        <v>50</v>
      </c>
      <c r="J969" s="22">
        <f t="shared" si="9"/>
        <v>33050</v>
      </c>
      <c r="K969" s="9">
        <f t="array" ref="K969">QUARTILE(IF($F$3:$F$1460=$F969,$H$3:$H$1460),1)</f>
        <v>680</v>
      </c>
      <c r="L969" s="9">
        <f t="array" ref="L969">QUARTILE(IF($F$3:$F$1460=$F969,$H$3:$H$1460),2)</f>
        <v>991</v>
      </c>
      <c r="M969" s="9">
        <f t="array" ref="M969">QUARTILE(IF($F$3:$F$1460=$F969,$H$3:$H$1460),3)</f>
        <v>1485.8333333333335</v>
      </c>
    </row>
    <row r="970" spans="1:13" x14ac:dyDescent="0.25">
      <c r="A970" s="7">
        <v>1011</v>
      </c>
      <c r="B970" s="6" t="s">
        <v>932</v>
      </c>
      <c r="C970" s="7">
        <v>5827349</v>
      </c>
      <c r="D970" s="23" t="s">
        <v>933</v>
      </c>
      <c r="E970" s="6" t="s">
        <v>934</v>
      </c>
      <c r="F970" s="21" t="s">
        <v>62</v>
      </c>
      <c r="G970" s="6" t="s">
        <v>936</v>
      </c>
      <c r="H970" s="22">
        <v>1028</v>
      </c>
      <c r="I970" s="9">
        <v>40</v>
      </c>
      <c r="J970" s="22">
        <f t="shared" si="9"/>
        <v>41120</v>
      </c>
      <c r="K970" s="9">
        <f t="array" ref="K970">QUARTILE(IF($F$3:$F$1460=$F970,$H$3:$H$1460),1)</f>
        <v>783.15</v>
      </c>
      <c r="L970" s="9">
        <f t="array" ref="L970">QUARTILE(IF($F$3:$F$1460=$F970,$H$3:$H$1460),2)</f>
        <v>1196.3</v>
      </c>
      <c r="M970" s="9">
        <f t="array" ref="M970">QUARTILE(IF($F$3:$F$1460=$F970,$H$3:$H$1460),3)</f>
        <v>1455.5</v>
      </c>
    </row>
    <row r="971" spans="1:13" x14ac:dyDescent="0.25">
      <c r="A971" s="7">
        <v>1012</v>
      </c>
      <c r="B971" s="6" t="s">
        <v>932</v>
      </c>
      <c r="C971" s="7">
        <v>5827349</v>
      </c>
      <c r="D971" s="23" t="s">
        <v>933</v>
      </c>
      <c r="E971" s="6" t="s">
        <v>934</v>
      </c>
      <c r="F971" s="21" t="s">
        <v>62</v>
      </c>
      <c r="G971" s="6" t="s">
        <v>937</v>
      </c>
      <c r="H971" s="22">
        <v>1190</v>
      </c>
      <c r="I971" s="9">
        <v>10</v>
      </c>
      <c r="J971" s="22">
        <f t="shared" si="9"/>
        <v>11900</v>
      </c>
      <c r="K971" s="9">
        <f t="array" ref="K971">QUARTILE(IF($F$3:$F$1460=$F971,$H$3:$H$1460),1)</f>
        <v>783.15</v>
      </c>
      <c r="L971" s="9">
        <f t="array" ref="L971">QUARTILE(IF($F$3:$F$1460=$F971,$H$3:$H$1460),2)</f>
        <v>1196.3</v>
      </c>
      <c r="M971" s="9">
        <f t="array" ref="M971">QUARTILE(IF($F$3:$F$1460=$F971,$H$3:$H$1460),3)</f>
        <v>1455.5</v>
      </c>
    </row>
    <row r="972" spans="1:13" x14ac:dyDescent="0.25">
      <c r="A972" s="7">
        <v>1013</v>
      </c>
      <c r="B972" s="6" t="s">
        <v>932</v>
      </c>
      <c r="C972" s="7">
        <v>5827349</v>
      </c>
      <c r="D972" s="23" t="s">
        <v>933</v>
      </c>
      <c r="E972" s="6" t="s">
        <v>934</v>
      </c>
      <c r="F972" s="21" t="s">
        <v>62</v>
      </c>
      <c r="G972" s="6" t="s">
        <v>938</v>
      </c>
      <c r="H972" s="22">
        <v>1263</v>
      </c>
      <c r="I972" s="9">
        <v>5</v>
      </c>
      <c r="J972" s="22">
        <f t="shared" si="9"/>
        <v>6315</v>
      </c>
      <c r="K972" s="9">
        <f t="array" ref="K972">QUARTILE(IF($F$3:$F$1460=$F972,$H$3:$H$1460),1)</f>
        <v>783.15</v>
      </c>
      <c r="L972" s="9">
        <f t="array" ref="L972">QUARTILE(IF($F$3:$F$1460=$F972,$H$3:$H$1460),2)</f>
        <v>1196.3</v>
      </c>
      <c r="M972" s="9">
        <f t="array" ref="M972">QUARTILE(IF($F$3:$F$1460=$F972,$H$3:$H$1460),3)</f>
        <v>1455.5</v>
      </c>
    </row>
    <row r="973" spans="1:13" x14ac:dyDescent="0.25">
      <c r="A973" s="7">
        <v>1014</v>
      </c>
      <c r="B973" s="6" t="s">
        <v>932</v>
      </c>
      <c r="C973" s="7">
        <v>5827349</v>
      </c>
      <c r="D973" s="23" t="s">
        <v>933</v>
      </c>
      <c r="E973" s="6" t="s">
        <v>934</v>
      </c>
      <c r="F973" s="21" t="s">
        <v>44</v>
      </c>
      <c r="G973" s="6" t="s">
        <v>939</v>
      </c>
      <c r="H973" s="22">
        <v>198</v>
      </c>
      <c r="I973" s="9">
        <v>100</v>
      </c>
      <c r="J973" s="22">
        <f t="shared" si="9"/>
        <v>19800</v>
      </c>
      <c r="K973" s="9">
        <f t="array" ref="K973">QUARTILE(IF($F$3:$F$1460=$F973,$H$3:$H$1460),1)</f>
        <v>141.67500000000001</v>
      </c>
      <c r="L973" s="9">
        <f t="array" ref="L973">QUARTILE(IF($F$3:$F$1460=$F973,$H$3:$H$1460),2)</f>
        <v>194</v>
      </c>
      <c r="M973" s="9">
        <f t="array" ref="M973">QUARTILE(IF($F$3:$F$1460=$F973,$H$3:$H$1460),3)</f>
        <v>266.75</v>
      </c>
    </row>
    <row r="974" spans="1:13" x14ac:dyDescent="0.25">
      <c r="A974" s="7">
        <v>1015</v>
      </c>
      <c r="B974" s="6" t="s">
        <v>932</v>
      </c>
      <c r="C974" s="7">
        <v>5827349</v>
      </c>
      <c r="D974" s="23" t="s">
        <v>933</v>
      </c>
      <c r="E974" s="6" t="s">
        <v>934</v>
      </c>
      <c r="F974" s="21" t="s">
        <v>44</v>
      </c>
      <c r="G974" s="6" t="s">
        <v>940</v>
      </c>
      <c r="H974" s="22">
        <v>240</v>
      </c>
      <c r="I974" s="9">
        <v>5</v>
      </c>
      <c r="J974" s="22">
        <f t="shared" si="9"/>
        <v>1200</v>
      </c>
      <c r="K974" s="9">
        <f t="array" ref="K974">QUARTILE(IF($F$3:$F$1460=$F974,$H$3:$H$1460),1)</f>
        <v>141.67500000000001</v>
      </c>
      <c r="L974" s="9">
        <f t="array" ref="L974">QUARTILE(IF($F$3:$F$1460=$F974,$H$3:$H$1460),2)</f>
        <v>194</v>
      </c>
      <c r="M974" s="9">
        <f t="array" ref="M974">QUARTILE(IF($F$3:$F$1460=$F974,$H$3:$H$1460),3)</f>
        <v>266.75</v>
      </c>
    </row>
    <row r="975" spans="1:13" x14ac:dyDescent="0.25">
      <c r="A975" s="7">
        <v>1016</v>
      </c>
      <c r="B975" s="6" t="s">
        <v>932</v>
      </c>
      <c r="C975" s="7">
        <v>5827349</v>
      </c>
      <c r="D975" s="23" t="s">
        <v>933</v>
      </c>
      <c r="E975" s="6" t="s">
        <v>934</v>
      </c>
      <c r="F975" s="21" t="s">
        <v>46</v>
      </c>
      <c r="G975" s="6" t="s">
        <v>941</v>
      </c>
      <c r="H975" s="22">
        <v>182</v>
      </c>
      <c r="I975" s="9">
        <v>100</v>
      </c>
      <c r="J975" s="22">
        <f t="shared" si="9"/>
        <v>18200</v>
      </c>
      <c r="K975" s="9">
        <f t="array" ref="K975">QUARTILE(IF($F$3:$F$1460=$F975,$H$3:$H$1460),1)</f>
        <v>229.78</v>
      </c>
      <c r="L975" s="9">
        <f t="array" ref="L975">QUARTILE(IF($F$3:$F$1460=$F975,$H$3:$H$1460),2)</f>
        <v>424.2</v>
      </c>
      <c r="M975" s="9">
        <f t="array" ref="M975">QUARTILE(IF($F$3:$F$1460=$F975,$H$3:$H$1460),3)</f>
        <v>1030.3</v>
      </c>
    </row>
    <row r="976" spans="1:13" x14ac:dyDescent="0.25">
      <c r="A976" s="7">
        <v>1017</v>
      </c>
      <c r="B976" s="6" t="s">
        <v>932</v>
      </c>
      <c r="C976" s="7">
        <v>5827349</v>
      </c>
      <c r="D976" s="23" t="s">
        <v>933</v>
      </c>
      <c r="E976" s="6" t="s">
        <v>934</v>
      </c>
      <c r="F976" s="21" t="s">
        <v>46</v>
      </c>
      <c r="G976" s="6" t="s">
        <v>942</v>
      </c>
      <c r="H976" s="22">
        <v>376</v>
      </c>
      <c r="I976" s="9">
        <v>10</v>
      </c>
      <c r="J976" s="22">
        <f t="shared" si="9"/>
        <v>3760</v>
      </c>
      <c r="K976" s="9">
        <f t="array" ref="K976">QUARTILE(IF($F$3:$F$1460=$F976,$H$3:$H$1460),1)</f>
        <v>229.78</v>
      </c>
      <c r="L976" s="9">
        <f t="array" ref="L976">QUARTILE(IF($F$3:$F$1460=$F976,$H$3:$H$1460),2)</f>
        <v>424.2</v>
      </c>
      <c r="M976" s="9">
        <f t="array" ref="M976">QUARTILE(IF($F$3:$F$1460=$F976,$H$3:$H$1460),3)</f>
        <v>1030.3</v>
      </c>
    </row>
    <row r="977" spans="1:13" x14ac:dyDescent="0.25">
      <c r="A977" s="7">
        <v>1018</v>
      </c>
      <c r="B977" s="6" t="s">
        <v>943</v>
      </c>
      <c r="C977" s="7">
        <v>4143956</v>
      </c>
      <c r="D977" s="23" t="s">
        <v>944</v>
      </c>
      <c r="E977" s="6" t="s">
        <v>945</v>
      </c>
      <c r="F977" s="21" t="s">
        <v>60</v>
      </c>
      <c r="G977" s="6" t="s">
        <v>946</v>
      </c>
      <c r="H977" s="22">
        <v>795.9</v>
      </c>
      <c r="I977" s="9">
        <v>230</v>
      </c>
      <c r="J977" s="22">
        <f t="shared" si="9"/>
        <v>183057</v>
      </c>
      <c r="K977" s="9">
        <f t="array" ref="K977">QUARTILE(IF($F$3:$F$1460=$F977,$H$3:$H$1460),1)</f>
        <v>680</v>
      </c>
      <c r="L977" s="9">
        <f t="array" ref="L977">QUARTILE(IF($F$3:$F$1460=$F977,$H$3:$H$1460),2)</f>
        <v>991</v>
      </c>
      <c r="M977" s="9">
        <f t="array" ref="M977">QUARTILE(IF($F$3:$F$1460=$F977,$H$3:$H$1460),3)</f>
        <v>1485.8333333333335</v>
      </c>
    </row>
    <row r="978" spans="1:13" x14ac:dyDescent="0.25">
      <c r="A978" s="7">
        <v>1019</v>
      </c>
      <c r="B978" s="6" t="s">
        <v>943</v>
      </c>
      <c r="C978" s="7">
        <v>4143956</v>
      </c>
      <c r="D978" s="23" t="s">
        <v>944</v>
      </c>
      <c r="E978" s="6" t="s">
        <v>945</v>
      </c>
      <c r="F978" s="21" t="s">
        <v>60</v>
      </c>
      <c r="G978" s="6" t="s">
        <v>947</v>
      </c>
      <c r="H978" s="22">
        <v>988.8</v>
      </c>
      <c r="I978" s="9">
        <v>206</v>
      </c>
      <c r="J978" s="22">
        <f t="shared" si="9"/>
        <v>203692.79999999999</v>
      </c>
      <c r="K978" s="9">
        <f t="array" ref="K978">QUARTILE(IF($F$3:$F$1460=$F978,$H$3:$H$1460),1)</f>
        <v>680</v>
      </c>
      <c r="L978" s="9">
        <f t="array" ref="L978">QUARTILE(IF($F$3:$F$1460=$F978,$H$3:$H$1460),2)</f>
        <v>991</v>
      </c>
      <c r="M978" s="9">
        <f t="array" ref="M978">QUARTILE(IF($F$3:$F$1460=$F978,$H$3:$H$1460),3)</f>
        <v>1485.8333333333335</v>
      </c>
    </row>
    <row r="979" spans="1:13" x14ac:dyDescent="0.25">
      <c r="A979" s="7">
        <v>1020</v>
      </c>
      <c r="B979" s="6" t="s">
        <v>943</v>
      </c>
      <c r="C979" s="7">
        <v>4143956</v>
      </c>
      <c r="D979" s="23" t="s">
        <v>944</v>
      </c>
      <c r="E979" s="6" t="s">
        <v>945</v>
      </c>
      <c r="F979" s="21" t="s">
        <v>60</v>
      </c>
      <c r="G979" s="6" t="s">
        <v>948</v>
      </c>
      <c r="H979" s="22">
        <v>1102.2</v>
      </c>
      <c r="I979" s="9">
        <v>10</v>
      </c>
      <c r="J979" s="22">
        <f t="shared" si="9"/>
        <v>11022</v>
      </c>
      <c r="K979" s="9">
        <f t="array" ref="K979">QUARTILE(IF($F$3:$F$1460=$F979,$H$3:$H$1460),1)</f>
        <v>680</v>
      </c>
      <c r="L979" s="9">
        <f t="array" ref="L979">QUARTILE(IF($F$3:$F$1460=$F979,$H$3:$H$1460),2)</f>
        <v>991</v>
      </c>
      <c r="M979" s="9">
        <f t="array" ref="M979">QUARTILE(IF($F$3:$F$1460=$F979,$H$3:$H$1460),3)</f>
        <v>1485.8333333333335</v>
      </c>
    </row>
    <row r="980" spans="1:13" x14ac:dyDescent="0.25">
      <c r="A980" s="7">
        <v>1021</v>
      </c>
      <c r="B980" s="6" t="s">
        <v>943</v>
      </c>
      <c r="C980" s="7">
        <v>4143956</v>
      </c>
      <c r="D980" s="23" t="s">
        <v>944</v>
      </c>
      <c r="E980" s="6" t="s">
        <v>945</v>
      </c>
      <c r="F980" s="21" t="s">
        <v>62</v>
      </c>
      <c r="G980" s="6" t="s">
        <v>949</v>
      </c>
      <c r="H980" s="22">
        <v>1336.7</v>
      </c>
      <c r="I980" s="9">
        <v>150</v>
      </c>
      <c r="J980" s="22">
        <f t="shared" si="9"/>
        <v>200505</v>
      </c>
      <c r="K980" s="9">
        <f t="array" ref="K980">QUARTILE(IF($F$3:$F$1460=$F980,$H$3:$H$1460),1)</f>
        <v>783.15</v>
      </c>
      <c r="L980" s="9">
        <f t="array" ref="L980">QUARTILE(IF($F$3:$F$1460=$F980,$H$3:$H$1460),2)</f>
        <v>1196.3</v>
      </c>
      <c r="M980" s="9">
        <f t="array" ref="M980">QUARTILE(IF($F$3:$F$1460=$F980,$H$3:$H$1460),3)</f>
        <v>1455.5</v>
      </c>
    </row>
    <row r="981" spans="1:13" x14ac:dyDescent="0.25">
      <c r="A981" s="7">
        <v>1022</v>
      </c>
      <c r="B981" s="6" t="s">
        <v>943</v>
      </c>
      <c r="C981" s="7">
        <v>4143956</v>
      </c>
      <c r="D981" s="23" t="s">
        <v>944</v>
      </c>
      <c r="E981" s="6" t="s">
        <v>945</v>
      </c>
      <c r="F981" s="21" t="s">
        <v>62</v>
      </c>
      <c r="G981" s="6" t="s">
        <v>950</v>
      </c>
      <c r="H981" s="22">
        <v>1434.1</v>
      </c>
      <c r="I981" s="9">
        <v>170</v>
      </c>
      <c r="J981" s="22">
        <f t="shared" si="9"/>
        <v>243796.99999999997</v>
      </c>
      <c r="K981" s="9">
        <f t="array" ref="K981">QUARTILE(IF($F$3:$F$1460=$F981,$H$3:$H$1460),1)</f>
        <v>783.15</v>
      </c>
      <c r="L981" s="9">
        <f t="array" ref="L981">QUARTILE(IF($F$3:$F$1460=$F981,$H$3:$H$1460),2)</f>
        <v>1196.3</v>
      </c>
      <c r="M981" s="9">
        <f t="array" ref="M981">QUARTILE(IF($F$3:$F$1460=$F981,$H$3:$H$1460),3)</f>
        <v>1455.5</v>
      </c>
    </row>
    <row r="982" spans="1:13" x14ac:dyDescent="0.25">
      <c r="A982" s="7">
        <v>1023</v>
      </c>
      <c r="B982" s="6" t="s">
        <v>943</v>
      </c>
      <c r="C982" s="7">
        <v>4143956</v>
      </c>
      <c r="D982" s="23" t="s">
        <v>944</v>
      </c>
      <c r="E982" s="6" t="s">
        <v>945</v>
      </c>
      <c r="F982" s="21" t="s">
        <v>62</v>
      </c>
      <c r="G982" s="6" t="s">
        <v>951</v>
      </c>
      <c r="H982" s="22">
        <v>1505.8</v>
      </c>
      <c r="I982" s="9">
        <v>55</v>
      </c>
      <c r="J982" s="22">
        <f t="shared" si="9"/>
        <v>82819</v>
      </c>
      <c r="K982" s="9">
        <f t="array" ref="K982">QUARTILE(IF($F$3:$F$1460=$F982,$H$3:$H$1460),1)</f>
        <v>783.15</v>
      </c>
      <c r="L982" s="9">
        <f t="array" ref="L982">QUARTILE(IF($F$3:$F$1460=$F982,$H$3:$H$1460),2)</f>
        <v>1196.3</v>
      </c>
      <c r="M982" s="9">
        <f t="array" ref="M982">QUARTILE(IF($F$3:$F$1460=$F982,$H$3:$H$1460),3)</f>
        <v>1455.5</v>
      </c>
    </row>
    <row r="983" spans="1:13" x14ac:dyDescent="0.25">
      <c r="A983" s="7">
        <v>1024</v>
      </c>
      <c r="B983" s="6" t="s">
        <v>943</v>
      </c>
      <c r="C983" s="7">
        <v>4143956</v>
      </c>
      <c r="D983" s="23" t="s">
        <v>944</v>
      </c>
      <c r="E983" s="6" t="s">
        <v>945</v>
      </c>
      <c r="F983" s="21" t="s">
        <v>62</v>
      </c>
      <c r="G983" s="6" t="s">
        <v>952</v>
      </c>
      <c r="H983" s="22">
        <v>1592</v>
      </c>
      <c r="I983" s="9">
        <v>5</v>
      </c>
      <c r="J983" s="22">
        <f t="shared" si="9"/>
        <v>7960</v>
      </c>
      <c r="K983" s="9">
        <f t="array" ref="K983">QUARTILE(IF($F$3:$F$1460=$F983,$H$3:$H$1460),1)</f>
        <v>783.15</v>
      </c>
      <c r="L983" s="9">
        <f t="array" ref="L983">QUARTILE(IF($F$3:$F$1460=$F983,$H$3:$H$1460),2)</f>
        <v>1196.3</v>
      </c>
      <c r="M983" s="9">
        <f t="array" ref="M983">QUARTILE(IF($F$3:$F$1460=$F983,$H$3:$H$1460),3)</f>
        <v>1455.5</v>
      </c>
    </row>
    <row r="984" spans="1:13" x14ac:dyDescent="0.25">
      <c r="A984" s="7">
        <v>1025</v>
      </c>
      <c r="B984" s="6" t="s">
        <v>943</v>
      </c>
      <c r="C984" s="7">
        <v>4143956</v>
      </c>
      <c r="D984" s="23" t="s">
        <v>944</v>
      </c>
      <c r="E984" s="6" t="s">
        <v>945</v>
      </c>
      <c r="F984" s="21" t="s">
        <v>62</v>
      </c>
      <c r="G984" s="6" t="s">
        <v>953</v>
      </c>
      <c r="H984" s="22">
        <v>1869.1</v>
      </c>
      <c r="I984" s="9">
        <v>10</v>
      </c>
      <c r="J984" s="22">
        <f t="shared" si="9"/>
        <v>18691</v>
      </c>
      <c r="K984" s="9">
        <f t="array" ref="K984">QUARTILE(IF($F$3:$F$1460=$F984,$H$3:$H$1460),1)</f>
        <v>783.15</v>
      </c>
      <c r="L984" s="9">
        <f t="array" ref="L984">QUARTILE(IF($F$3:$F$1460=$F984,$H$3:$H$1460),2)</f>
        <v>1196.3</v>
      </c>
      <c r="M984" s="9">
        <f t="array" ref="M984">QUARTILE(IF($F$3:$F$1460=$F984,$H$3:$H$1460),3)</f>
        <v>1455.5</v>
      </c>
    </row>
    <row r="985" spans="1:13" x14ac:dyDescent="0.25">
      <c r="A985" s="7">
        <v>1026</v>
      </c>
      <c r="B985" s="6" t="s">
        <v>943</v>
      </c>
      <c r="C985" s="7">
        <v>4143956</v>
      </c>
      <c r="D985" s="23" t="s">
        <v>944</v>
      </c>
      <c r="E985" s="6" t="s">
        <v>945</v>
      </c>
      <c r="F985" s="21" t="s">
        <v>44</v>
      </c>
      <c r="G985" s="6" t="s">
        <v>954</v>
      </c>
      <c r="H985" s="22">
        <v>178.8</v>
      </c>
      <c r="I985" s="9">
        <v>430</v>
      </c>
      <c r="J985" s="22">
        <f t="shared" si="9"/>
        <v>76884</v>
      </c>
      <c r="K985" s="9">
        <f t="array" ref="K985">QUARTILE(IF($F$3:$F$1460=$F985,$H$3:$H$1460),1)</f>
        <v>141.67500000000001</v>
      </c>
      <c r="L985" s="9">
        <f t="array" ref="L985">QUARTILE(IF($F$3:$F$1460=$F985,$H$3:$H$1460),2)</f>
        <v>194</v>
      </c>
      <c r="M985" s="9">
        <f t="array" ref="M985">QUARTILE(IF($F$3:$F$1460=$F985,$H$3:$H$1460),3)</f>
        <v>266.75</v>
      </c>
    </row>
    <row r="986" spans="1:13" x14ac:dyDescent="0.25">
      <c r="A986" s="7">
        <v>1027</v>
      </c>
      <c r="B986" s="6" t="s">
        <v>943</v>
      </c>
      <c r="C986" s="7">
        <v>4143956</v>
      </c>
      <c r="D986" s="23" t="s">
        <v>944</v>
      </c>
      <c r="E986" s="6" t="s">
        <v>945</v>
      </c>
      <c r="F986" s="21" t="s">
        <v>44</v>
      </c>
      <c r="G986" s="6" t="s">
        <v>955</v>
      </c>
      <c r="H986" s="22">
        <v>220</v>
      </c>
      <c r="I986" s="9">
        <v>320</v>
      </c>
      <c r="J986" s="22">
        <f t="shared" si="9"/>
        <v>70400</v>
      </c>
      <c r="K986" s="9">
        <f t="array" ref="K986">QUARTILE(IF($F$3:$F$1460=$F986,$H$3:$H$1460),1)</f>
        <v>141.67500000000001</v>
      </c>
      <c r="L986" s="9">
        <f t="array" ref="L986">QUARTILE(IF($F$3:$F$1460=$F986,$H$3:$H$1460),2)</f>
        <v>194</v>
      </c>
      <c r="M986" s="9">
        <f t="array" ref="M986">QUARTILE(IF($F$3:$F$1460=$F986,$H$3:$H$1460),3)</f>
        <v>266.75</v>
      </c>
    </row>
    <row r="987" spans="1:13" x14ac:dyDescent="0.25">
      <c r="A987" s="7">
        <v>1028</v>
      </c>
      <c r="B987" s="6" t="s">
        <v>943</v>
      </c>
      <c r="C987" s="7">
        <v>4143956</v>
      </c>
      <c r="D987" s="23" t="s">
        <v>944</v>
      </c>
      <c r="E987" s="6" t="s">
        <v>945</v>
      </c>
      <c r="F987" s="21" t="s">
        <v>44</v>
      </c>
      <c r="G987" s="6" t="s">
        <v>956</v>
      </c>
      <c r="H987" s="22">
        <v>257.89999999999998</v>
      </c>
      <c r="I987" s="9">
        <v>65</v>
      </c>
      <c r="J987" s="22">
        <f t="shared" si="9"/>
        <v>16763.5</v>
      </c>
      <c r="K987" s="9">
        <f t="array" ref="K987">QUARTILE(IF($F$3:$F$1460=$F987,$H$3:$H$1460),1)</f>
        <v>141.67500000000001</v>
      </c>
      <c r="L987" s="9">
        <f t="array" ref="L987">QUARTILE(IF($F$3:$F$1460=$F987,$H$3:$H$1460),2)</f>
        <v>194</v>
      </c>
      <c r="M987" s="9">
        <f t="array" ref="M987">QUARTILE(IF($F$3:$F$1460=$F987,$H$3:$H$1460),3)</f>
        <v>266.75</v>
      </c>
    </row>
    <row r="988" spans="1:13" x14ac:dyDescent="0.25">
      <c r="A988" s="7">
        <v>1029</v>
      </c>
      <c r="B988" s="6" t="s">
        <v>943</v>
      </c>
      <c r="C988" s="7">
        <v>4143956</v>
      </c>
      <c r="D988" s="23" t="s">
        <v>944</v>
      </c>
      <c r="E988" s="6" t="s">
        <v>945</v>
      </c>
      <c r="F988" s="21" t="s">
        <v>44</v>
      </c>
      <c r="G988" s="6" t="s">
        <v>957</v>
      </c>
      <c r="H988" s="22">
        <v>315</v>
      </c>
      <c r="I988" s="9">
        <v>10</v>
      </c>
      <c r="J988" s="22">
        <f t="shared" si="9"/>
        <v>3150</v>
      </c>
      <c r="K988" s="9">
        <f t="array" ref="K988">QUARTILE(IF($F$3:$F$1460=$F988,$H$3:$H$1460),1)</f>
        <v>141.67500000000001</v>
      </c>
      <c r="L988" s="9">
        <f t="array" ref="L988">QUARTILE(IF($F$3:$F$1460=$F988,$H$3:$H$1460),2)</f>
        <v>194</v>
      </c>
      <c r="M988" s="9">
        <f t="array" ref="M988">QUARTILE(IF($F$3:$F$1460=$F988,$H$3:$H$1460),3)</f>
        <v>266.75</v>
      </c>
    </row>
    <row r="989" spans="1:13" x14ac:dyDescent="0.25">
      <c r="A989" s="7">
        <v>1030</v>
      </c>
      <c r="B989" s="6" t="s">
        <v>943</v>
      </c>
      <c r="C989" s="7">
        <v>4143956</v>
      </c>
      <c r="D989" s="23" t="s">
        <v>944</v>
      </c>
      <c r="E989" s="6" t="s">
        <v>945</v>
      </c>
      <c r="F989" s="21" t="s">
        <v>46</v>
      </c>
      <c r="G989" s="6" t="s">
        <v>958</v>
      </c>
      <c r="H989" s="22">
        <v>278.8</v>
      </c>
      <c r="I989" s="9">
        <v>52</v>
      </c>
      <c r="J989" s="22">
        <f t="shared" si="9"/>
        <v>14497.6</v>
      </c>
      <c r="K989" s="9">
        <f t="array" ref="K989">QUARTILE(IF($F$3:$F$1460=$F989,$H$3:$H$1460),1)</f>
        <v>229.78</v>
      </c>
      <c r="L989" s="9">
        <f t="array" ref="L989">QUARTILE(IF($F$3:$F$1460=$F989,$H$3:$H$1460),2)</f>
        <v>424.2</v>
      </c>
      <c r="M989" s="9">
        <f t="array" ref="M989">QUARTILE(IF($F$3:$F$1460=$F989,$H$3:$H$1460),3)</f>
        <v>1030.3</v>
      </c>
    </row>
    <row r="990" spans="1:13" x14ac:dyDescent="0.25">
      <c r="A990" s="7">
        <v>1031</v>
      </c>
      <c r="B990" s="6" t="s">
        <v>943</v>
      </c>
      <c r="C990" s="7">
        <v>4143956</v>
      </c>
      <c r="D990" s="23" t="s">
        <v>944</v>
      </c>
      <c r="E990" s="6" t="s">
        <v>945</v>
      </c>
      <c r="F990" s="21" t="s">
        <v>46</v>
      </c>
      <c r="G990" s="6" t="s">
        <v>959</v>
      </c>
      <c r="H990" s="22">
        <v>580.29999999999995</v>
      </c>
      <c r="I990" s="9">
        <v>81</v>
      </c>
      <c r="J990" s="22">
        <f t="shared" si="9"/>
        <v>47004.299999999996</v>
      </c>
      <c r="K990" s="9">
        <f t="array" ref="K990">QUARTILE(IF($F$3:$F$1460=$F990,$H$3:$H$1460),1)</f>
        <v>229.78</v>
      </c>
      <c r="L990" s="9">
        <f t="array" ref="L990">QUARTILE(IF($F$3:$F$1460=$F990,$H$3:$H$1460),2)</f>
        <v>424.2</v>
      </c>
      <c r="M990" s="9">
        <f t="array" ref="M990">QUARTILE(IF($F$3:$F$1460=$F990,$H$3:$H$1460),3)</f>
        <v>1030.3</v>
      </c>
    </row>
    <row r="991" spans="1:13" x14ac:dyDescent="0.25">
      <c r="A991" s="7">
        <v>1032</v>
      </c>
      <c r="B991" s="6" t="s">
        <v>943</v>
      </c>
      <c r="C991" s="7">
        <v>4143956</v>
      </c>
      <c r="D991" s="23" t="s">
        <v>944</v>
      </c>
      <c r="E991" s="6" t="s">
        <v>945</v>
      </c>
      <c r="F991" s="21" t="s">
        <v>46</v>
      </c>
      <c r="G991" s="6" t="s">
        <v>960</v>
      </c>
      <c r="H991" s="22">
        <v>750.8</v>
      </c>
      <c r="I991" s="9">
        <v>39</v>
      </c>
      <c r="J991" s="22">
        <f t="shared" si="9"/>
        <v>29281.199999999997</v>
      </c>
      <c r="K991" s="9">
        <f t="array" ref="K991">QUARTILE(IF($F$3:$F$1460=$F991,$H$3:$H$1460),1)</f>
        <v>229.78</v>
      </c>
      <c r="L991" s="9">
        <f t="array" ref="L991">QUARTILE(IF($F$3:$F$1460=$F991,$H$3:$H$1460),2)</f>
        <v>424.2</v>
      </c>
      <c r="M991" s="9">
        <f t="array" ref="M991">QUARTILE(IF($F$3:$F$1460=$F991,$H$3:$H$1460),3)</f>
        <v>1030.3</v>
      </c>
    </row>
    <row r="992" spans="1:13" x14ac:dyDescent="0.25">
      <c r="A992" s="7">
        <v>1033</v>
      </c>
      <c r="B992" s="6" t="s">
        <v>943</v>
      </c>
      <c r="C992" s="7">
        <v>4143956</v>
      </c>
      <c r="D992" s="23" t="s">
        <v>944</v>
      </c>
      <c r="E992" s="6" t="s">
        <v>945</v>
      </c>
      <c r="F992" s="21" t="s">
        <v>46</v>
      </c>
      <c r="G992" s="6" t="s">
        <v>961</v>
      </c>
      <c r="H992" s="22">
        <v>2378.1999999999998</v>
      </c>
      <c r="I992" s="9">
        <v>3</v>
      </c>
      <c r="J992" s="22">
        <f t="shared" si="9"/>
        <v>7134.5999999999995</v>
      </c>
      <c r="K992" s="9">
        <f t="array" ref="K992">QUARTILE(IF($F$3:$F$1460=$F992,$H$3:$H$1460),1)</f>
        <v>229.78</v>
      </c>
      <c r="L992" s="9">
        <f t="array" ref="L992">QUARTILE(IF($F$3:$F$1460=$F992,$H$3:$H$1460),2)</f>
        <v>424.2</v>
      </c>
      <c r="M992" s="9">
        <f t="array" ref="M992">QUARTILE(IF($F$3:$F$1460=$F992,$H$3:$H$1460),3)</f>
        <v>1030.3</v>
      </c>
    </row>
    <row r="993" spans="1:13" x14ac:dyDescent="0.25">
      <c r="A993" s="7">
        <v>1034</v>
      </c>
      <c r="B993" s="6" t="s">
        <v>943</v>
      </c>
      <c r="C993" s="7">
        <v>4143956</v>
      </c>
      <c r="D993" s="23" t="s">
        <v>944</v>
      </c>
      <c r="E993" s="6" t="s">
        <v>945</v>
      </c>
      <c r="F993" s="21" t="s">
        <v>46</v>
      </c>
      <c r="G993" s="6" t="s">
        <v>962</v>
      </c>
      <c r="H993" s="22">
        <v>4447</v>
      </c>
      <c r="I993" s="9">
        <v>3</v>
      </c>
      <c r="J993" s="22">
        <f t="shared" si="9"/>
        <v>13341</v>
      </c>
      <c r="K993" s="9">
        <f t="array" ref="K993">QUARTILE(IF($F$3:$F$1460=$F993,$H$3:$H$1460),1)</f>
        <v>229.78</v>
      </c>
      <c r="L993" s="9">
        <f t="array" ref="L993">QUARTILE(IF($F$3:$F$1460=$F993,$H$3:$H$1460),2)</f>
        <v>424.2</v>
      </c>
      <c r="M993" s="9">
        <f t="array" ref="M993">QUARTILE(IF($F$3:$F$1460=$F993,$H$3:$H$1460),3)</f>
        <v>1030.3</v>
      </c>
    </row>
    <row r="994" spans="1:13" x14ac:dyDescent="0.25">
      <c r="A994" s="7">
        <v>1035</v>
      </c>
      <c r="B994" s="6" t="s">
        <v>963</v>
      </c>
      <c r="C994" s="7">
        <v>4368008</v>
      </c>
      <c r="D994" s="23" t="s">
        <v>964</v>
      </c>
      <c r="E994" s="6" t="s">
        <v>965</v>
      </c>
      <c r="F994" s="21" t="s">
        <v>60</v>
      </c>
      <c r="G994" s="6" t="s">
        <v>946</v>
      </c>
      <c r="H994" s="22">
        <v>797</v>
      </c>
      <c r="I994" s="9">
        <v>70</v>
      </c>
      <c r="J994" s="22">
        <f t="shared" si="9"/>
        <v>55790</v>
      </c>
      <c r="K994" s="9">
        <f t="array" ref="K994">QUARTILE(IF($F$3:$F$1460=$F994,$H$3:$H$1460),1)</f>
        <v>680</v>
      </c>
      <c r="L994" s="9">
        <f t="array" ref="L994">QUARTILE(IF($F$3:$F$1460=$F994,$H$3:$H$1460),2)</f>
        <v>991</v>
      </c>
      <c r="M994" s="9">
        <f t="array" ref="M994">QUARTILE(IF($F$3:$F$1460=$F994,$H$3:$H$1460),3)</f>
        <v>1485.8333333333335</v>
      </c>
    </row>
    <row r="995" spans="1:13" x14ac:dyDescent="0.25">
      <c r="A995" s="7">
        <v>1036</v>
      </c>
      <c r="B995" s="6" t="s">
        <v>963</v>
      </c>
      <c r="C995" s="7">
        <v>4368008</v>
      </c>
      <c r="D995" s="23" t="s">
        <v>964</v>
      </c>
      <c r="E995" s="6" t="s">
        <v>965</v>
      </c>
      <c r="F995" s="21" t="s">
        <v>60</v>
      </c>
      <c r="G995" s="6" t="s">
        <v>947</v>
      </c>
      <c r="H995" s="22">
        <v>991</v>
      </c>
      <c r="I995" s="9">
        <v>54</v>
      </c>
      <c r="J995" s="22">
        <f t="shared" si="9"/>
        <v>53514</v>
      </c>
      <c r="K995" s="9">
        <f t="array" ref="K995">QUARTILE(IF($F$3:$F$1460=$F995,$H$3:$H$1460),1)</f>
        <v>680</v>
      </c>
      <c r="L995" s="9">
        <f t="array" ref="L995">QUARTILE(IF($F$3:$F$1460=$F995,$H$3:$H$1460),2)</f>
        <v>991</v>
      </c>
      <c r="M995" s="9">
        <f t="array" ref="M995">QUARTILE(IF($F$3:$F$1460=$F995,$H$3:$H$1460),3)</f>
        <v>1485.8333333333335</v>
      </c>
    </row>
    <row r="996" spans="1:13" x14ac:dyDescent="0.25">
      <c r="A996" s="7">
        <v>1037</v>
      </c>
      <c r="B996" s="6" t="s">
        <v>963</v>
      </c>
      <c r="C996" s="7">
        <v>4368008</v>
      </c>
      <c r="D996" s="23" t="s">
        <v>964</v>
      </c>
      <c r="E996" s="6" t="s">
        <v>965</v>
      </c>
      <c r="F996" s="21" t="s">
        <v>60</v>
      </c>
      <c r="G996" s="6" t="s">
        <v>948</v>
      </c>
      <c r="H996" s="22">
        <v>1105</v>
      </c>
      <c r="I996" s="9">
        <v>31</v>
      </c>
      <c r="J996" s="22">
        <f t="shared" si="9"/>
        <v>34255</v>
      </c>
      <c r="K996" s="9">
        <f t="array" ref="K996">QUARTILE(IF($F$3:$F$1460=$F996,$H$3:$H$1460),1)</f>
        <v>680</v>
      </c>
      <c r="L996" s="9">
        <f t="array" ref="L996">QUARTILE(IF($F$3:$F$1460=$F996,$H$3:$H$1460),2)</f>
        <v>991</v>
      </c>
      <c r="M996" s="9">
        <f t="array" ref="M996">QUARTILE(IF($F$3:$F$1460=$F996,$H$3:$H$1460),3)</f>
        <v>1485.8333333333335</v>
      </c>
    </row>
    <row r="997" spans="1:13" x14ac:dyDescent="0.25">
      <c r="A997" s="7">
        <v>1038</v>
      </c>
      <c r="B997" s="6" t="s">
        <v>963</v>
      </c>
      <c r="C997" s="7">
        <v>4368008</v>
      </c>
      <c r="D997" s="23" t="s">
        <v>964</v>
      </c>
      <c r="E997" s="6" t="s">
        <v>965</v>
      </c>
      <c r="F997" s="21" t="s">
        <v>60</v>
      </c>
      <c r="G997" s="6" t="s">
        <v>966</v>
      </c>
      <c r="H997" s="22">
        <v>3579</v>
      </c>
      <c r="I997" s="9">
        <v>12</v>
      </c>
      <c r="J997" s="22">
        <f t="shared" si="9"/>
        <v>42948</v>
      </c>
      <c r="K997" s="9">
        <f t="array" ref="K997">QUARTILE(IF($F$3:$F$1460=$F997,$H$3:$H$1460),1)</f>
        <v>680</v>
      </c>
      <c r="L997" s="9">
        <f t="array" ref="L997">QUARTILE(IF($F$3:$F$1460=$F997,$H$3:$H$1460),2)</f>
        <v>991</v>
      </c>
      <c r="M997" s="9">
        <f t="array" ref="M997">QUARTILE(IF($F$3:$F$1460=$F997,$H$3:$H$1460),3)</f>
        <v>1485.8333333333335</v>
      </c>
    </row>
    <row r="998" spans="1:13" x14ac:dyDescent="0.25">
      <c r="A998" s="7">
        <v>1039</v>
      </c>
      <c r="B998" s="6" t="s">
        <v>963</v>
      </c>
      <c r="C998" s="7">
        <v>4368008</v>
      </c>
      <c r="D998" s="23" t="s">
        <v>964</v>
      </c>
      <c r="E998" s="6" t="s">
        <v>965</v>
      </c>
      <c r="F998" s="21" t="s">
        <v>62</v>
      </c>
      <c r="G998" s="6" t="s">
        <v>967</v>
      </c>
      <c r="H998" s="22">
        <v>1341</v>
      </c>
      <c r="I998" s="9">
        <v>85</v>
      </c>
      <c r="J998" s="22">
        <f t="shared" si="9"/>
        <v>113985</v>
      </c>
      <c r="K998" s="9">
        <f t="array" ref="K998">QUARTILE(IF($F$3:$F$1460=$F998,$H$3:$H$1460),1)</f>
        <v>783.15</v>
      </c>
      <c r="L998" s="9">
        <f t="array" ref="L998">QUARTILE(IF($F$3:$F$1460=$F998,$H$3:$H$1460),2)</f>
        <v>1196.3</v>
      </c>
      <c r="M998" s="9">
        <f t="array" ref="M998">QUARTILE(IF($F$3:$F$1460=$F998,$H$3:$H$1460),3)</f>
        <v>1455.5</v>
      </c>
    </row>
    <row r="999" spans="1:13" x14ac:dyDescent="0.25">
      <c r="A999" s="7">
        <v>1040</v>
      </c>
      <c r="B999" s="6" t="s">
        <v>963</v>
      </c>
      <c r="C999" s="7">
        <v>4368008</v>
      </c>
      <c r="D999" s="23" t="s">
        <v>964</v>
      </c>
      <c r="E999" s="6" t="s">
        <v>965</v>
      </c>
      <c r="F999" s="21" t="s">
        <v>62</v>
      </c>
      <c r="G999" s="6" t="s">
        <v>968</v>
      </c>
      <c r="H999" s="22">
        <v>1439</v>
      </c>
      <c r="I999" s="9">
        <v>105</v>
      </c>
      <c r="J999" s="22">
        <f t="shared" si="9"/>
        <v>151095</v>
      </c>
      <c r="K999" s="9">
        <f t="array" ref="K999">QUARTILE(IF($F$3:$F$1460=$F999,$H$3:$H$1460),1)</f>
        <v>783.15</v>
      </c>
      <c r="L999" s="9">
        <f t="array" ref="L999">QUARTILE(IF($F$3:$F$1460=$F999,$H$3:$H$1460),2)</f>
        <v>1196.3</v>
      </c>
      <c r="M999" s="9">
        <f t="array" ref="M999">QUARTILE(IF($F$3:$F$1460=$F999,$H$3:$H$1460),3)</f>
        <v>1455.5</v>
      </c>
    </row>
    <row r="1000" spans="1:13" x14ac:dyDescent="0.25">
      <c r="A1000" s="7">
        <v>1041</v>
      </c>
      <c r="B1000" s="6" t="s">
        <v>963</v>
      </c>
      <c r="C1000" s="7">
        <v>4368008</v>
      </c>
      <c r="D1000" s="23" t="s">
        <v>964</v>
      </c>
      <c r="E1000" s="6" t="s">
        <v>965</v>
      </c>
      <c r="F1000" s="21" t="s">
        <v>62</v>
      </c>
      <c r="G1000" s="6" t="s">
        <v>969</v>
      </c>
      <c r="H1000" s="22">
        <v>1511</v>
      </c>
      <c r="I1000" s="9">
        <v>31</v>
      </c>
      <c r="J1000" s="22">
        <f t="shared" si="9"/>
        <v>46841</v>
      </c>
      <c r="K1000" s="9">
        <f t="array" ref="K1000">QUARTILE(IF($F$3:$F$1460=$F1000,$H$3:$H$1460),1)</f>
        <v>783.15</v>
      </c>
      <c r="L1000" s="9">
        <f t="array" ref="L1000">QUARTILE(IF($F$3:$F$1460=$F1000,$H$3:$H$1460),2)</f>
        <v>1196.3</v>
      </c>
      <c r="M1000" s="9">
        <f t="array" ref="M1000">QUARTILE(IF($F$3:$F$1460=$F1000,$H$3:$H$1460),3)</f>
        <v>1455.5</v>
      </c>
    </row>
    <row r="1001" spans="1:13" x14ac:dyDescent="0.25">
      <c r="A1001" s="7">
        <v>1042</v>
      </c>
      <c r="B1001" s="6" t="s">
        <v>963</v>
      </c>
      <c r="C1001" s="7">
        <v>4368008</v>
      </c>
      <c r="D1001" s="23" t="s">
        <v>964</v>
      </c>
      <c r="E1001" s="6" t="s">
        <v>965</v>
      </c>
      <c r="F1001" s="21" t="s">
        <v>62</v>
      </c>
      <c r="G1001" s="6" t="s">
        <v>970</v>
      </c>
      <c r="H1001" s="22">
        <v>1876</v>
      </c>
      <c r="I1001" s="9">
        <v>15</v>
      </c>
      <c r="J1001" s="22">
        <f t="shared" ref="J1001:J1064" si="10">I1001*H1001</f>
        <v>28140</v>
      </c>
      <c r="K1001" s="9">
        <f t="array" ref="K1001">QUARTILE(IF($F$3:$F$1460=$F1001,$H$3:$H$1460),1)</f>
        <v>783.15</v>
      </c>
      <c r="L1001" s="9">
        <f t="array" ref="L1001">QUARTILE(IF($F$3:$F$1460=$F1001,$H$3:$H$1460),2)</f>
        <v>1196.3</v>
      </c>
      <c r="M1001" s="9">
        <f t="array" ref="M1001">QUARTILE(IF($F$3:$F$1460=$F1001,$H$3:$H$1460),3)</f>
        <v>1455.5</v>
      </c>
    </row>
    <row r="1002" spans="1:13" x14ac:dyDescent="0.25">
      <c r="A1002" s="7">
        <v>1043</v>
      </c>
      <c r="B1002" s="6" t="s">
        <v>963</v>
      </c>
      <c r="C1002" s="7">
        <v>4368008</v>
      </c>
      <c r="D1002" s="23" t="s">
        <v>964</v>
      </c>
      <c r="E1002" s="6" t="s">
        <v>965</v>
      </c>
      <c r="F1002" s="21" t="s">
        <v>44</v>
      </c>
      <c r="G1002" s="6" t="s">
        <v>971</v>
      </c>
      <c r="H1002" s="22">
        <v>179</v>
      </c>
      <c r="I1002" s="9">
        <v>1670</v>
      </c>
      <c r="J1002" s="22">
        <f t="shared" si="10"/>
        <v>298930</v>
      </c>
      <c r="K1002" s="9">
        <f t="array" ref="K1002">QUARTILE(IF($F$3:$F$1460=$F1002,$H$3:$H$1460),1)</f>
        <v>141.67500000000001</v>
      </c>
      <c r="L1002" s="9">
        <f t="array" ref="L1002">QUARTILE(IF($F$3:$F$1460=$F1002,$H$3:$H$1460),2)</f>
        <v>194</v>
      </c>
      <c r="M1002" s="9">
        <f t="array" ref="M1002">QUARTILE(IF($F$3:$F$1460=$F1002,$H$3:$H$1460),3)</f>
        <v>266.75</v>
      </c>
    </row>
    <row r="1003" spans="1:13" x14ac:dyDescent="0.25">
      <c r="A1003" s="7">
        <v>1044</v>
      </c>
      <c r="B1003" s="6" t="s">
        <v>963</v>
      </c>
      <c r="C1003" s="7">
        <v>4368008</v>
      </c>
      <c r="D1003" s="23" t="s">
        <v>964</v>
      </c>
      <c r="E1003" s="6" t="s">
        <v>965</v>
      </c>
      <c r="F1003" s="21" t="s">
        <v>44</v>
      </c>
      <c r="G1003" s="6" t="s">
        <v>955</v>
      </c>
      <c r="H1003" s="22">
        <v>220</v>
      </c>
      <c r="I1003" s="9">
        <v>1105</v>
      </c>
      <c r="J1003" s="22">
        <f t="shared" si="10"/>
        <v>243100</v>
      </c>
      <c r="K1003" s="9">
        <f t="array" ref="K1003">QUARTILE(IF($F$3:$F$1460=$F1003,$H$3:$H$1460),1)</f>
        <v>141.67500000000001</v>
      </c>
      <c r="L1003" s="9">
        <f t="array" ref="L1003">QUARTILE(IF($F$3:$F$1460=$F1003,$H$3:$H$1460),2)</f>
        <v>194</v>
      </c>
      <c r="M1003" s="9">
        <f t="array" ref="M1003">QUARTILE(IF($F$3:$F$1460=$F1003,$H$3:$H$1460),3)</f>
        <v>266.75</v>
      </c>
    </row>
    <row r="1004" spans="1:13" x14ac:dyDescent="0.25">
      <c r="A1004" s="7">
        <v>1045</v>
      </c>
      <c r="B1004" s="6" t="s">
        <v>963</v>
      </c>
      <c r="C1004" s="7">
        <v>4368008</v>
      </c>
      <c r="D1004" s="23" t="s">
        <v>964</v>
      </c>
      <c r="E1004" s="6" t="s">
        <v>965</v>
      </c>
      <c r="F1004" s="21" t="s">
        <v>44</v>
      </c>
      <c r="G1004" s="6" t="s">
        <v>956</v>
      </c>
      <c r="H1004" s="22">
        <v>259</v>
      </c>
      <c r="I1004" s="9">
        <v>31</v>
      </c>
      <c r="J1004" s="22">
        <f t="shared" si="10"/>
        <v>8029</v>
      </c>
      <c r="K1004" s="9">
        <f t="array" ref="K1004">QUARTILE(IF($F$3:$F$1460=$F1004,$H$3:$H$1460),1)</f>
        <v>141.67500000000001</v>
      </c>
      <c r="L1004" s="9">
        <f t="array" ref="L1004">QUARTILE(IF($F$3:$F$1460=$F1004,$H$3:$H$1460),2)</f>
        <v>194</v>
      </c>
      <c r="M1004" s="9">
        <f t="array" ref="M1004">QUARTILE(IF($F$3:$F$1460=$F1004,$H$3:$H$1460),3)</f>
        <v>266.75</v>
      </c>
    </row>
    <row r="1005" spans="1:13" x14ac:dyDescent="0.25">
      <c r="A1005" s="7">
        <v>1046</v>
      </c>
      <c r="B1005" s="6" t="s">
        <v>963</v>
      </c>
      <c r="C1005" s="7">
        <v>4368008</v>
      </c>
      <c r="D1005" s="23" t="s">
        <v>964</v>
      </c>
      <c r="E1005" s="6" t="s">
        <v>965</v>
      </c>
      <c r="F1005" s="21" t="s">
        <v>44</v>
      </c>
      <c r="G1005" s="6" t="s">
        <v>957</v>
      </c>
      <c r="H1005" s="22">
        <v>317</v>
      </c>
      <c r="I1005" s="9">
        <v>58</v>
      </c>
      <c r="J1005" s="22">
        <f t="shared" si="10"/>
        <v>18386</v>
      </c>
      <c r="K1005" s="9">
        <f t="array" ref="K1005">QUARTILE(IF($F$3:$F$1460=$F1005,$H$3:$H$1460),1)</f>
        <v>141.67500000000001</v>
      </c>
      <c r="L1005" s="9">
        <f t="array" ref="L1005">QUARTILE(IF($F$3:$F$1460=$F1005,$H$3:$H$1460),2)</f>
        <v>194</v>
      </c>
      <c r="M1005" s="9">
        <f t="array" ref="M1005">QUARTILE(IF($F$3:$F$1460=$F1005,$H$3:$H$1460),3)</f>
        <v>266.75</v>
      </c>
    </row>
    <row r="1006" spans="1:13" x14ac:dyDescent="0.25">
      <c r="A1006" s="7">
        <v>1047</v>
      </c>
      <c r="B1006" s="6" t="s">
        <v>963</v>
      </c>
      <c r="C1006" s="7">
        <v>4368008</v>
      </c>
      <c r="D1006" s="23" t="s">
        <v>964</v>
      </c>
      <c r="E1006" s="6" t="s">
        <v>965</v>
      </c>
      <c r="F1006" s="21" t="s">
        <v>46</v>
      </c>
      <c r="G1006" s="6" t="s">
        <v>958</v>
      </c>
      <c r="H1006" s="22">
        <v>281</v>
      </c>
      <c r="I1006" s="9">
        <v>7</v>
      </c>
      <c r="J1006" s="22">
        <f t="shared" si="10"/>
        <v>1967</v>
      </c>
      <c r="K1006" s="9">
        <f t="array" ref="K1006">QUARTILE(IF($F$3:$F$1460=$F1006,$H$3:$H$1460),1)</f>
        <v>229.78</v>
      </c>
      <c r="L1006" s="9">
        <f t="array" ref="L1006">QUARTILE(IF($F$3:$F$1460=$F1006,$H$3:$H$1460),2)</f>
        <v>424.2</v>
      </c>
      <c r="M1006" s="9">
        <f t="array" ref="M1006">QUARTILE(IF($F$3:$F$1460=$F1006,$H$3:$H$1460),3)</f>
        <v>1030.3</v>
      </c>
    </row>
    <row r="1007" spans="1:13" x14ac:dyDescent="0.25">
      <c r="A1007" s="7">
        <v>1048</v>
      </c>
      <c r="B1007" s="6" t="s">
        <v>963</v>
      </c>
      <c r="C1007" s="7">
        <v>4368008</v>
      </c>
      <c r="D1007" s="23" t="s">
        <v>964</v>
      </c>
      <c r="E1007" s="6" t="s">
        <v>965</v>
      </c>
      <c r="F1007" s="21" t="s">
        <v>46</v>
      </c>
      <c r="G1007" s="6" t="s">
        <v>972</v>
      </c>
      <c r="H1007" s="22">
        <v>483</v>
      </c>
      <c r="I1007" s="9">
        <v>7</v>
      </c>
      <c r="J1007" s="22">
        <f t="shared" si="10"/>
        <v>3381</v>
      </c>
      <c r="K1007" s="9">
        <f t="array" ref="K1007">QUARTILE(IF($F$3:$F$1460=$F1007,$H$3:$H$1460),1)</f>
        <v>229.78</v>
      </c>
      <c r="L1007" s="9">
        <f t="array" ref="L1007">QUARTILE(IF($F$3:$F$1460=$F1007,$H$3:$H$1460),2)</f>
        <v>424.2</v>
      </c>
      <c r="M1007" s="9">
        <f t="array" ref="M1007">QUARTILE(IF($F$3:$F$1460=$F1007,$H$3:$H$1460),3)</f>
        <v>1030.3</v>
      </c>
    </row>
    <row r="1008" spans="1:13" x14ac:dyDescent="0.25">
      <c r="A1008" s="7">
        <v>1049</v>
      </c>
      <c r="B1008" s="6" t="s">
        <v>963</v>
      </c>
      <c r="C1008" s="7">
        <v>4368008</v>
      </c>
      <c r="D1008" s="23" t="s">
        <v>964</v>
      </c>
      <c r="E1008" s="6" t="s">
        <v>965</v>
      </c>
      <c r="F1008" s="21" t="s">
        <v>46</v>
      </c>
      <c r="G1008" s="6" t="s">
        <v>973</v>
      </c>
      <c r="H1008" s="22">
        <v>689</v>
      </c>
      <c r="I1008" s="9">
        <v>8</v>
      </c>
      <c r="J1008" s="22">
        <f t="shared" si="10"/>
        <v>5512</v>
      </c>
      <c r="K1008" s="9">
        <f t="array" ref="K1008">QUARTILE(IF($F$3:$F$1460=$F1008,$H$3:$H$1460),1)</f>
        <v>229.78</v>
      </c>
      <c r="L1008" s="9">
        <f t="array" ref="L1008">QUARTILE(IF($F$3:$F$1460=$F1008,$H$3:$H$1460),2)</f>
        <v>424.2</v>
      </c>
      <c r="M1008" s="9">
        <f t="array" ref="M1008">QUARTILE(IF($F$3:$F$1460=$F1008,$H$3:$H$1460),3)</f>
        <v>1030.3</v>
      </c>
    </row>
    <row r="1009" spans="1:13" x14ac:dyDescent="0.25">
      <c r="A1009" s="7">
        <v>1050</v>
      </c>
      <c r="B1009" s="6" t="s">
        <v>963</v>
      </c>
      <c r="C1009" s="7">
        <v>4368008</v>
      </c>
      <c r="D1009" s="23" t="s">
        <v>964</v>
      </c>
      <c r="E1009" s="6" t="s">
        <v>965</v>
      </c>
      <c r="F1009" s="21" t="s">
        <v>46</v>
      </c>
      <c r="G1009" s="6" t="s">
        <v>974</v>
      </c>
      <c r="H1009" s="22">
        <v>582</v>
      </c>
      <c r="I1009" s="9">
        <v>15</v>
      </c>
      <c r="J1009" s="22">
        <f t="shared" si="10"/>
        <v>8730</v>
      </c>
      <c r="K1009" s="9">
        <f t="array" ref="K1009">QUARTILE(IF($F$3:$F$1460=$F1009,$H$3:$H$1460),1)</f>
        <v>229.78</v>
      </c>
      <c r="L1009" s="9">
        <f t="array" ref="L1009">QUARTILE(IF($F$3:$F$1460=$F1009,$H$3:$H$1460),2)</f>
        <v>424.2</v>
      </c>
      <c r="M1009" s="9">
        <f t="array" ref="M1009">QUARTILE(IF($F$3:$F$1460=$F1009,$H$3:$H$1460),3)</f>
        <v>1030.3</v>
      </c>
    </row>
    <row r="1010" spans="1:13" x14ac:dyDescent="0.25">
      <c r="A1010" s="7">
        <v>1051</v>
      </c>
      <c r="B1010" s="6" t="s">
        <v>963</v>
      </c>
      <c r="C1010" s="7">
        <v>4368008</v>
      </c>
      <c r="D1010" s="23" t="s">
        <v>964</v>
      </c>
      <c r="E1010" s="6" t="s">
        <v>965</v>
      </c>
      <c r="F1010" s="21" t="s">
        <v>46</v>
      </c>
      <c r="G1010" s="6" t="s">
        <v>960</v>
      </c>
      <c r="H1010" s="22">
        <v>753</v>
      </c>
      <c r="I1010" s="9">
        <v>5</v>
      </c>
      <c r="J1010" s="22">
        <f t="shared" si="10"/>
        <v>3765</v>
      </c>
      <c r="K1010" s="9">
        <f t="array" ref="K1010">QUARTILE(IF($F$3:$F$1460=$F1010,$H$3:$H$1460),1)</f>
        <v>229.78</v>
      </c>
      <c r="L1010" s="9">
        <f t="array" ref="L1010">QUARTILE(IF($F$3:$F$1460=$F1010,$H$3:$H$1460),2)</f>
        <v>424.2</v>
      </c>
      <c r="M1010" s="9">
        <f t="array" ref="M1010">QUARTILE(IF($F$3:$F$1460=$F1010,$H$3:$H$1460),3)</f>
        <v>1030.3</v>
      </c>
    </row>
    <row r="1011" spans="1:13" x14ac:dyDescent="0.25">
      <c r="A1011" s="7">
        <v>1052</v>
      </c>
      <c r="B1011" s="6" t="s">
        <v>963</v>
      </c>
      <c r="C1011" s="7">
        <v>4368008</v>
      </c>
      <c r="D1011" s="23" t="s">
        <v>964</v>
      </c>
      <c r="E1011" s="6" t="s">
        <v>965</v>
      </c>
      <c r="F1011" s="21" t="s">
        <v>46</v>
      </c>
      <c r="G1011" s="6" t="s">
        <v>975</v>
      </c>
      <c r="H1011" s="22">
        <v>4457</v>
      </c>
      <c r="I1011" s="9">
        <v>1</v>
      </c>
      <c r="J1011" s="22">
        <f t="shared" si="10"/>
        <v>4457</v>
      </c>
      <c r="K1011" s="9">
        <f t="array" ref="K1011">QUARTILE(IF($F$3:$F$1460=$F1011,$H$3:$H$1460),1)</f>
        <v>229.78</v>
      </c>
      <c r="L1011" s="9">
        <f t="array" ref="L1011">QUARTILE(IF($F$3:$F$1460=$F1011,$H$3:$H$1460),2)</f>
        <v>424.2</v>
      </c>
      <c r="M1011" s="9">
        <f t="array" ref="M1011">QUARTILE(IF($F$3:$F$1460=$F1011,$H$3:$H$1460),3)</f>
        <v>1030.3</v>
      </c>
    </row>
    <row r="1012" spans="1:13" x14ac:dyDescent="0.25">
      <c r="A1012" s="7">
        <v>1053</v>
      </c>
      <c r="B1012" s="6" t="s">
        <v>963</v>
      </c>
      <c r="C1012" s="7">
        <v>4368008</v>
      </c>
      <c r="D1012" s="23" t="s">
        <v>964</v>
      </c>
      <c r="E1012" s="6" t="s">
        <v>965</v>
      </c>
      <c r="F1012" s="21" t="s">
        <v>46</v>
      </c>
      <c r="G1012" s="6" t="s">
        <v>976</v>
      </c>
      <c r="H1012" s="22">
        <v>10049</v>
      </c>
      <c r="I1012" s="9">
        <v>2</v>
      </c>
      <c r="J1012" s="22">
        <f t="shared" si="10"/>
        <v>20098</v>
      </c>
      <c r="K1012" s="9">
        <f t="array" ref="K1012">QUARTILE(IF($F$3:$F$1460=$F1012,$H$3:$H$1460),1)</f>
        <v>229.78</v>
      </c>
      <c r="L1012" s="9">
        <f t="array" ref="L1012">QUARTILE(IF($F$3:$F$1460=$F1012,$H$3:$H$1460),2)</f>
        <v>424.2</v>
      </c>
      <c r="M1012" s="9">
        <f t="array" ref="M1012">QUARTILE(IF($F$3:$F$1460=$F1012,$H$3:$H$1460),3)</f>
        <v>1030.3</v>
      </c>
    </row>
    <row r="1013" spans="1:13" x14ac:dyDescent="0.25">
      <c r="A1013" s="7">
        <v>1054</v>
      </c>
      <c r="B1013" s="6" t="s">
        <v>977</v>
      </c>
      <c r="C1013" s="7">
        <v>4108813</v>
      </c>
      <c r="D1013" s="23" t="s">
        <v>978</v>
      </c>
      <c r="E1013" s="6" t="s">
        <v>979</v>
      </c>
      <c r="F1013" s="21" t="s">
        <v>17</v>
      </c>
      <c r="G1013" s="6" t="s">
        <v>980</v>
      </c>
      <c r="H1013" s="22">
        <v>40</v>
      </c>
      <c r="I1013" s="9">
        <v>180</v>
      </c>
      <c r="J1013" s="22">
        <f t="shared" si="10"/>
        <v>7200</v>
      </c>
      <c r="K1013" s="9">
        <f t="array" ref="K1013">QUARTILE(IF($F$3:$F$1460=$F1013,$H$3:$H$1460),1)</f>
        <v>17.549999999999997</v>
      </c>
      <c r="L1013" s="9">
        <f t="array" ref="L1013">QUARTILE(IF($F$3:$F$1460=$F1013,$H$3:$H$1460),2)</f>
        <v>275.8</v>
      </c>
      <c r="M1013" s="9">
        <f t="array" ref="M1013">QUARTILE(IF($F$3:$F$1460=$F1013,$H$3:$H$1460),3)</f>
        <v>11191.057499999999</v>
      </c>
    </row>
    <row r="1014" spans="1:13" x14ac:dyDescent="0.25">
      <c r="A1014" s="7">
        <v>1055</v>
      </c>
      <c r="B1014" s="6" t="s">
        <v>977</v>
      </c>
      <c r="C1014" s="7">
        <v>4108813</v>
      </c>
      <c r="D1014" s="23" t="s">
        <v>978</v>
      </c>
      <c r="E1014" s="6" t="s">
        <v>979</v>
      </c>
      <c r="F1014" s="21" t="s">
        <v>11</v>
      </c>
      <c r="G1014" s="6" t="s">
        <v>981</v>
      </c>
      <c r="H1014" s="22">
        <v>9.19</v>
      </c>
      <c r="I1014" s="9">
        <v>90</v>
      </c>
      <c r="J1014" s="22">
        <f t="shared" si="10"/>
        <v>827.09999999999991</v>
      </c>
      <c r="K1014" s="9">
        <f t="array" ref="K1014">QUARTILE(IF($F$3:$F$1460=$F1014,$H$3:$H$1460),1)</f>
        <v>9.8249999999999993</v>
      </c>
      <c r="L1014" s="9">
        <f t="array" ref="L1014">QUARTILE(IF($F$3:$F$1460=$F1014,$H$3:$H$1460),2)</f>
        <v>21.14</v>
      </c>
      <c r="M1014" s="9">
        <f t="array" ref="M1014">QUARTILE(IF($F$3:$F$1460=$F1014,$H$3:$H$1460),3)</f>
        <v>248.75</v>
      </c>
    </row>
    <row r="1015" spans="1:13" x14ac:dyDescent="0.25">
      <c r="A1015" s="7">
        <v>1056</v>
      </c>
      <c r="B1015" s="6" t="s">
        <v>977</v>
      </c>
      <c r="C1015" s="7">
        <v>4108813</v>
      </c>
      <c r="D1015" s="23" t="s">
        <v>978</v>
      </c>
      <c r="E1015" s="6" t="s">
        <v>979</v>
      </c>
      <c r="F1015" s="21" t="s">
        <v>11</v>
      </c>
      <c r="G1015" s="6" t="s">
        <v>982</v>
      </c>
      <c r="H1015" s="22">
        <v>9.3000000000000007</v>
      </c>
      <c r="I1015" s="9">
        <v>90</v>
      </c>
      <c r="J1015" s="22">
        <f t="shared" si="10"/>
        <v>837.00000000000011</v>
      </c>
      <c r="K1015" s="9">
        <f t="array" ref="K1015">QUARTILE(IF($F$3:$F$1460=$F1015,$H$3:$H$1460),1)</f>
        <v>9.8249999999999993</v>
      </c>
      <c r="L1015" s="9">
        <f t="array" ref="L1015">QUARTILE(IF($F$3:$F$1460=$F1015,$H$3:$H$1460),2)</f>
        <v>21.14</v>
      </c>
      <c r="M1015" s="9">
        <f t="array" ref="M1015">QUARTILE(IF($F$3:$F$1460=$F1015,$H$3:$H$1460),3)</f>
        <v>248.75</v>
      </c>
    </row>
    <row r="1016" spans="1:13" x14ac:dyDescent="0.25">
      <c r="A1016" s="7">
        <v>1057</v>
      </c>
      <c r="B1016" s="6" t="s">
        <v>977</v>
      </c>
      <c r="C1016" s="7">
        <v>4108813</v>
      </c>
      <c r="D1016" s="23" t="s">
        <v>978</v>
      </c>
      <c r="E1016" s="6" t="s">
        <v>979</v>
      </c>
      <c r="F1016" s="21" t="s">
        <v>6</v>
      </c>
      <c r="G1016" s="6" t="s">
        <v>983</v>
      </c>
      <c r="H1016" s="22">
        <v>5.22</v>
      </c>
      <c r="I1016" s="9">
        <v>1900</v>
      </c>
      <c r="J1016" s="22">
        <f t="shared" si="10"/>
        <v>9918</v>
      </c>
      <c r="K1016" s="9">
        <f t="array" ref="K1016">QUARTILE(IF($F$3:$F$1460=$F1016,$H$3:$H$1460),1)</f>
        <v>4.25</v>
      </c>
      <c r="L1016" s="9">
        <f t="array" ref="L1016">QUARTILE(IF($F$3:$F$1460=$F1016,$H$3:$H$1460),2)</f>
        <v>6.12</v>
      </c>
      <c r="M1016" s="9">
        <f t="array" ref="M1016">QUARTILE(IF($F$3:$F$1460=$F1016,$H$3:$H$1460),3)</f>
        <v>13.55</v>
      </c>
    </row>
    <row r="1017" spans="1:13" x14ac:dyDescent="0.25">
      <c r="A1017" s="7">
        <v>1058</v>
      </c>
      <c r="B1017" s="6" t="s">
        <v>977</v>
      </c>
      <c r="C1017" s="7">
        <v>4108813</v>
      </c>
      <c r="D1017" s="23" t="s">
        <v>978</v>
      </c>
      <c r="E1017" s="6" t="s">
        <v>979</v>
      </c>
      <c r="F1017" s="21" t="s">
        <v>9</v>
      </c>
      <c r="G1017" s="6" t="s">
        <v>984</v>
      </c>
      <c r="H1017" s="22">
        <v>5.97</v>
      </c>
      <c r="I1017" s="9">
        <v>1900</v>
      </c>
      <c r="J1017" s="22">
        <f t="shared" si="10"/>
        <v>11343</v>
      </c>
      <c r="K1017" s="9">
        <f t="array" ref="K1017">QUARTILE(IF($F$3:$F$1460=$F1017,$H$3:$H$1460),1)</f>
        <v>5.1899999999999995</v>
      </c>
      <c r="L1017" s="9">
        <f t="array" ref="L1017">QUARTILE(IF($F$3:$F$1460=$F1017,$H$3:$H$1460),2)</f>
        <v>8.5</v>
      </c>
      <c r="M1017" s="9">
        <f t="array" ref="M1017">QUARTILE(IF($F$3:$F$1460=$F1017,$H$3:$H$1460),3)</f>
        <v>21.95</v>
      </c>
    </row>
    <row r="1018" spans="1:13" x14ac:dyDescent="0.25">
      <c r="A1018" s="7">
        <v>1059</v>
      </c>
      <c r="B1018" s="6" t="s">
        <v>977</v>
      </c>
      <c r="C1018" s="7">
        <v>4108813</v>
      </c>
      <c r="D1018" s="23" t="s">
        <v>978</v>
      </c>
      <c r="E1018" s="6" t="s">
        <v>979</v>
      </c>
      <c r="F1018" s="21" t="s">
        <v>9</v>
      </c>
      <c r="G1018" s="6" t="s">
        <v>985</v>
      </c>
      <c r="H1018" s="22">
        <v>21.8</v>
      </c>
      <c r="I1018" s="9">
        <v>360</v>
      </c>
      <c r="J1018" s="22">
        <f t="shared" si="10"/>
        <v>7848</v>
      </c>
      <c r="K1018" s="9">
        <f t="array" ref="K1018">QUARTILE(IF($F$3:$F$1460=$F1018,$H$3:$H$1460),1)</f>
        <v>5.1899999999999995</v>
      </c>
      <c r="L1018" s="9">
        <f t="array" ref="L1018">QUARTILE(IF($F$3:$F$1460=$F1018,$H$3:$H$1460),2)</f>
        <v>8.5</v>
      </c>
      <c r="M1018" s="9">
        <f t="array" ref="M1018">QUARTILE(IF($F$3:$F$1460=$F1018,$H$3:$H$1460),3)</f>
        <v>21.95</v>
      </c>
    </row>
    <row r="1019" spans="1:13" x14ac:dyDescent="0.25">
      <c r="A1019" s="7">
        <v>1060</v>
      </c>
      <c r="B1019" s="6" t="s">
        <v>977</v>
      </c>
      <c r="C1019" s="7">
        <v>4108813</v>
      </c>
      <c r="D1019" s="23" t="s">
        <v>978</v>
      </c>
      <c r="E1019" s="6" t="s">
        <v>979</v>
      </c>
      <c r="F1019" s="21" t="s">
        <v>9</v>
      </c>
      <c r="G1019" s="6" t="s">
        <v>986</v>
      </c>
      <c r="H1019" s="22">
        <v>37.17</v>
      </c>
      <c r="I1019" s="9">
        <v>210</v>
      </c>
      <c r="J1019" s="22">
        <f t="shared" si="10"/>
        <v>7805.7000000000007</v>
      </c>
      <c r="K1019" s="9">
        <f t="array" ref="K1019">QUARTILE(IF($F$3:$F$1460=$F1019,$H$3:$H$1460),1)</f>
        <v>5.1899999999999995</v>
      </c>
      <c r="L1019" s="9">
        <f t="array" ref="L1019">QUARTILE(IF($F$3:$F$1460=$F1019,$H$3:$H$1460),2)</f>
        <v>8.5</v>
      </c>
      <c r="M1019" s="9">
        <f t="array" ref="M1019">QUARTILE(IF($F$3:$F$1460=$F1019,$H$3:$H$1460),3)</f>
        <v>21.95</v>
      </c>
    </row>
    <row r="1020" spans="1:13" x14ac:dyDescent="0.25">
      <c r="A1020" s="7">
        <v>1061</v>
      </c>
      <c r="B1020" s="6" t="s">
        <v>977</v>
      </c>
      <c r="C1020" s="7">
        <v>4108813</v>
      </c>
      <c r="D1020" s="23" t="s">
        <v>978</v>
      </c>
      <c r="E1020" s="6" t="s">
        <v>979</v>
      </c>
      <c r="F1020" s="21" t="s">
        <v>25</v>
      </c>
      <c r="G1020" s="6" t="s">
        <v>987</v>
      </c>
      <c r="H1020" s="22">
        <v>32.35</v>
      </c>
      <c r="I1020" s="9">
        <v>380</v>
      </c>
      <c r="J1020" s="22">
        <f t="shared" si="10"/>
        <v>12293</v>
      </c>
      <c r="K1020" s="9">
        <f t="array" ref="K1020">QUARTILE(IF($F$3:$F$1460=$F1020,$H$3:$H$1460),1)</f>
        <v>33.465000000000003</v>
      </c>
      <c r="L1020" s="9">
        <f t="array" ref="L1020">QUARTILE(IF($F$3:$F$1460=$F1020,$H$3:$H$1460),2)</f>
        <v>34.58</v>
      </c>
      <c r="M1020" s="9">
        <f t="array" ref="M1020">QUARTILE(IF($F$3:$F$1460=$F1020,$H$3:$H$1460),3)</f>
        <v>35.695</v>
      </c>
    </row>
    <row r="1021" spans="1:13" x14ac:dyDescent="0.25">
      <c r="A1021" s="7">
        <v>1062</v>
      </c>
      <c r="B1021" s="6" t="s">
        <v>977</v>
      </c>
      <c r="C1021" s="7">
        <v>4108813</v>
      </c>
      <c r="D1021" s="23" t="s">
        <v>978</v>
      </c>
      <c r="E1021" s="6" t="s">
        <v>979</v>
      </c>
      <c r="F1021" s="21" t="s">
        <v>20</v>
      </c>
      <c r="G1021" s="6" t="s">
        <v>988</v>
      </c>
      <c r="H1021" s="22">
        <v>17.5</v>
      </c>
      <c r="I1021" s="9">
        <v>180</v>
      </c>
      <c r="J1021" s="22">
        <f t="shared" si="10"/>
        <v>3150</v>
      </c>
      <c r="K1021" s="9">
        <f t="array" ref="K1021">QUARTILE(IF($F$3:$F$1460=$F1021,$H$3:$H$1460),1)</f>
        <v>22.082500000000003</v>
      </c>
      <c r="L1021" s="9">
        <f t="array" ref="L1021">QUARTILE(IF($F$3:$F$1460=$F1021,$H$3:$H$1460),2)</f>
        <v>31.15</v>
      </c>
      <c r="M1021" s="9">
        <f t="array" ref="M1021">QUARTILE(IF($F$3:$F$1460=$F1021,$H$3:$H$1460),3)</f>
        <v>48.125</v>
      </c>
    </row>
    <row r="1022" spans="1:13" x14ac:dyDescent="0.25">
      <c r="A1022" s="7">
        <v>1063</v>
      </c>
      <c r="B1022" s="6" t="s">
        <v>977</v>
      </c>
      <c r="C1022" s="7">
        <v>4108813</v>
      </c>
      <c r="D1022" s="23" t="s">
        <v>978</v>
      </c>
      <c r="E1022" s="6" t="s">
        <v>979</v>
      </c>
      <c r="F1022" s="21" t="s">
        <v>31</v>
      </c>
      <c r="G1022" s="6" t="s">
        <v>989</v>
      </c>
      <c r="H1022" s="22">
        <v>68.900000000000006</v>
      </c>
      <c r="I1022" s="9">
        <v>470</v>
      </c>
      <c r="J1022" s="22">
        <f t="shared" si="10"/>
        <v>32383.000000000004</v>
      </c>
      <c r="K1022" s="9">
        <f t="array" ref="K1022">QUARTILE(IF($F$3:$F$1460=$F1022,$H$3:$H$1460),1)</f>
        <v>55.5</v>
      </c>
      <c r="L1022" s="9">
        <f t="array" ref="L1022">QUARTILE(IF($F$3:$F$1460=$F1022,$H$3:$H$1460),2)</f>
        <v>91.88</v>
      </c>
      <c r="M1022" s="9">
        <f t="array" ref="M1022">QUARTILE(IF($F$3:$F$1460=$F1022,$H$3:$H$1460),3)</f>
        <v>148.36000000000001</v>
      </c>
    </row>
    <row r="1023" spans="1:13" x14ac:dyDescent="0.25">
      <c r="A1023" s="7">
        <v>1064</v>
      </c>
      <c r="B1023" s="6" t="s">
        <v>977</v>
      </c>
      <c r="C1023" s="7">
        <v>4108813</v>
      </c>
      <c r="D1023" s="23" t="s">
        <v>978</v>
      </c>
      <c r="E1023" s="6" t="s">
        <v>979</v>
      </c>
      <c r="F1023" s="21" t="s">
        <v>31</v>
      </c>
      <c r="G1023" s="6" t="s">
        <v>990</v>
      </c>
      <c r="H1023" s="22">
        <v>590</v>
      </c>
      <c r="I1023" s="9">
        <v>90</v>
      </c>
      <c r="J1023" s="22">
        <f t="shared" si="10"/>
        <v>53100</v>
      </c>
      <c r="K1023" s="9">
        <f t="array" ref="K1023">QUARTILE(IF($F$3:$F$1460=$F1023,$H$3:$H$1460),1)</f>
        <v>55.5</v>
      </c>
      <c r="L1023" s="9">
        <f t="array" ref="L1023">QUARTILE(IF($F$3:$F$1460=$F1023,$H$3:$H$1460),2)</f>
        <v>91.88</v>
      </c>
      <c r="M1023" s="9">
        <f t="array" ref="M1023">QUARTILE(IF($F$3:$F$1460=$F1023,$H$3:$H$1460),3)</f>
        <v>148.36000000000001</v>
      </c>
    </row>
    <row r="1024" spans="1:13" x14ac:dyDescent="0.25">
      <c r="A1024" s="7">
        <v>1065</v>
      </c>
      <c r="B1024" s="6" t="s">
        <v>977</v>
      </c>
      <c r="C1024" s="7">
        <v>4108813</v>
      </c>
      <c r="D1024" s="23" t="s">
        <v>978</v>
      </c>
      <c r="E1024" s="6" t="s">
        <v>979</v>
      </c>
      <c r="F1024" s="21" t="s">
        <v>31</v>
      </c>
      <c r="G1024" s="6" t="s">
        <v>991</v>
      </c>
      <c r="H1024" s="22">
        <v>400</v>
      </c>
      <c r="I1024" s="9">
        <v>90</v>
      </c>
      <c r="J1024" s="22">
        <f t="shared" si="10"/>
        <v>36000</v>
      </c>
      <c r="K1024" s="9">
        <f t="array" ref="K1024">QUARTILE(IF($F$3:$F$1460=$F1024,$H$3:$H$1460),1)</f>
        <v>55.5</v>
      </c>
      <c r="L1024" s="9">
        <f t="array" ref="L1024">QUARTILE(IF($F$3:$F$1460=$F1024,$H$3:$H$1460),2)</f>
        <v>91.88</v>
      </c>
      <c r="M1024" s="9">
        <f t="array" ref="M1024">QUARTILE(IF($F$3:$F$1460=$F1024,$H$3:$H$1460),3)</f>
        <v>148.36000000000001</v>
      </c>
    </row>
    <row r="1025" spans="1:13" x14ac:dyDescent="0.25">
      <c r="A1025" s="7">
        <v>1066</v>
      </c>
      <c r="B1025" s="6" t="s">
        <v>977</v>
      </c>
      <c r="C1025" s="7">
        <v>4108813</v>
      </c>
      <c r="D1025" s="23" t="s">
        <v>978</v>
      </c>
      <c r="E1025" s="6" t="s">
        <v>979</v>
      </c>
      <c r="F1025" s="21" t="s">
        <v>31</v>
      </c>
      <c r="G1025" s="6" t="s">
        <v>992</v>
      </c>
      <c r="H1025" s="22">
        <v>119</v>
      </c>
      <c r="I1025" s="9">
        <v>780</v>
      </c>
      <c r="J1025" s="22">
        <f t="shared" si="10"/>
        <v>92820</v>
      </c>
      <c r="K1025" s="9">
        <f t="array" ref="K1025">QUARTILE(IF($F$3:$F$1460=$F1025,$H$3:$H$1460),1)</f>
        <v>55.5</v>
      </c>
      <c r="L1025" s="9">
        <f t="array" ref="L1025">QUARTILE(IF($F$3:$F$1460=$F1025,$H$3:$H$1460),2)</f>
        <v>91.88</v>
      </c>
      <c r="M1025" s="9">
        <f t="array" ref="M1025">QUARTILE(IF($F$3:$F$1460=$F1025,$H$3:$H$1460),3)</f>
        <v>148.36000000000001</v>
      </c>
    </row>
    <row r="1026" spans="1:13" x14ac:dyDescent="0.25">
      <c r="A1026" s="7">
        <v>1067</v>
      </c>
      <c r="B1026" s="6" t="s">
        <v>977</v>
      </c>
      <c r="C1026" s="7">
        <v>4108813</v>
      </c>
      <c r="D1026" s="23" t="s">
        <v>978</v>
      </c>
      <c r="E1026" s="6" t="s">
        <v>979</v>
      </c>
      <c r="F1026" s="21" t="s">
        <v>31</v>
      </c>
      <c r="G1026" s="6" t="s">
        <v>993</v>
      </c>
      <c r="H1026" s="22">
        <v>281.10000000000002</v>
      </c>
      <c r="I1026" s="9">
        <v>100</v>
      </c>
      <c r="J1026" s="22">
        <f t="shared" si="10"/>
        <v>28110.000000000004</v>
      </c>
      <c r="K1026" s="9">
        <f t="array" ref="K1026">QUARTILE(IF($F$3:$F$1460=$F1026,$H$3:$H$1460),1)</f>
        <v>55.5</v>
      </c>
      <c r="L1026" s="9">
        <f t="array" ref="L1026">QUARTILE(IF($F$3:$F$1460=$F1026,$H$3:$H$1460),2)</f>
        <v>91.88</v>
      </c>
      <c r="M1026" s="9">
        <f t="array" ref="M1026">QUARTILE(IF($F$3:$F$1460=$F1026,$H$3:$H$1460),3)</f>
        <v>148.36000000000001</v>
      </c>
    </row>
    <row r="1027" spans="1:13" x14ac:dyDescent="0.25">
      <c r="A1027" s="7">
        <v>1068</v>
      </c>
      <c r="B1027" s="6" t="s">
        <v>977</v>
      </c>
      <c r="C1027" s="7">
        <v>4108813</v>
      </c>
      <c r="D1027" s="23" t="s">
        <v>978</v>
      </c>
      <c r="E1027" s="6" t="s">
        <v>979</v>
      </c>
      <c r="F1027" s="21" t="s">
        <v>31</v>
      </c>
      <c r="G1027" s="6" t="s">
        <v>994</v>
      </c>
      <c r="H1027" s="22">
        <v>169.75</v>
      </c>
      <c r="I1027" s="9">
        <v>23</v>
      </c>
      <c r="J1027" s="22">
        <f t="shared" si="10"/>
        <v>3904.25</v>
      </c>
      <c r="K1027" s="9">
        <f t="array" ref="K1027">QUARTILE(IF($F$3:$F$1460=$F1027,$H$3:$H$1460),1)</f>
        <v>55.5</v>
      </c>
      <c r="L1027" s="9">
        <f t="array" ref="L1027">QUARTILE(IF($F$3:$F$1460=$F1027,$H$3:$H$1460),2)</f>
        <v>91.88</v>
      </c>
      <c r="M1027" s="9">
        <f t="array" ref="M1027">QUARTILE(IF($F$3:$F$1460=$F1027,$H$3:$H$1460),3)</f>
        <v>148.36000000000001</v>
      </c>
    </row>
    <row r="1028" spans="1:13" x14ac:dyDescent="0.25">
      <c r="A1028" s="7">
        <v>1069</v>
      </c>
      <c r="B1028" s="6" t="s">
        <v>977</v>
      </c>
      <c r="C1028" s="7">
        <v>4108813</v>
      </c>
      <c r="D1028" s="23" t="s">
        <v>978</v>
      </c>
      <c r="E1028" s="6" t="s">
        <v>979</v>
      </c>
      <c r="F1028" s="21" t="s">
        <v>31</v>
      </c>
      <c r="G1028" s="6" t="s">
        <v>995</v>
      </c>
      <c r="H1028" s="22">
        <v>169.7</v>
      </c>
      <c r="I1028" s="9">
        <v>6</v>
      </c>
      <c r="J1028" s="22">
        <f t="shared" si="10"/>
        <v>1018.1999999999999</v>
      </c>
      <c r="K1028" s="9">
        <f t="array" ref="K1028">QUARTILE(IF($F$3:$F$1460=$F1028,$H$3:$H$1460),1)</f>
        <v>55.5</v>
      </c>
      <c r="L1028" s="9">
        <f t="array" ref="L1028">QUARTILE(IF($F$3:$F$1460=$F1028,$H$3:$H$1460),2)</f>
        <v>91.88</v>
      </c>
      <c r="M1028" s="9">
        <f t="array" ref="M1028">QUARTILE(IF($F$3:$F$1460=$F1028,$H$3:$H$1460),3)</f>
        <v>148.36000000000001</v>
      </c>
    </row>
    <row r="1029" spans="1:13" x14ac:dyDescent="0.25">
      <c r="A1029" s="7">
        <v>1070</v>
      </c>
      <c r="B1029" s="6" t="s">
        <v>977</v>
      </c>
      <c r="C1029" s="7">
        <v>4108813</v>
      </c>
      <c r="D1029" s="23" t="s">
        <v>978</v>
      </c>
      <c r="E1029" s="6" t="s">
        <v>979</v>
      </c>
      <c r="F1029" s="21" t="s">
        <v>31</v>
      </c>
      <c r="G1029" s="6" t="s">
        <v>996</v>
      </c>
      <c r="H1029" s="22">
        <v>369.19</v>
      </c>
      <c r="I1029" s="9">
        <v>1</v>
      </c>
      <c r="J1029" s="22">
        <f t="shared" si="10"/>
        <v>369.19</v>
      </c>
      <c r="K1029" s="9">
        <f t="array" ref="K1029">QUARTILE(IF($F$3:$F$1460=$F1029,$H$3:$H$1460),1)</f>
        <v>55.5</v>
      </c>
      <c r="L1029" s="9">
        <f t="array" ref="L1029">QUARTILE(IF($F$3:$F$1460=$F1029,$H$3:$H$1460),2)</f>
        <v>91.88</v>
      </c>
      <c r="M1029" s="9">
        <f t="array" ref="M1029">QUARTILE(IF($F$3:$F$1460=$F1029,$H$3:$H$1460),3)</f>
        <v>148.36000000000001</v>
      </c>
    </row>
    <row r="1030" spans="1:13" x14ac:dyDescent="0.25">
      <c r="A1030" s="7">
        <v>1071</v>
      </c>
      <c r="B1030" s="6" t="s">
        <v>977</v>
      </c>
      <c r="C1030" s="7">
        <v>4108813</v>
      </c>
      <c r="D1030" s="23" t="s">
        <v>978</v>
      </c>
      <c r="E1030" s="6" t="s">
        <v>979</v>
      </c>
      <c r="F1030" s="21" t="s">
        <v>31</v>
      </c>
      <c r="G1030" s="6" t="s">
        <v>997</v>
      </c>
      <c r="H1030" s="22">
        <v>130.01</v>
      </c>
      <c r="I1030" s="9">
        <v>16</v>
      </c>
      <c r="J1030" s="22">
        <f t="shared" si="10"/>
        <v>2080.16</v>
      </c>
      <c r="K1030" s="9">
        <f t="array" ref="K1030">QUARTILE(IF($F$3:$F$1460=$F1030,$H$3:$H$1460),1)</f>
        <v>55.5</v>
      </c>
      <c r="L1030" s="9">
        <f t="array" ref="L1030">QUARTILE(IF($F$3:$F$1460=$F1030,$H$3:$H$1460),2)</f>
        <v>91.88</v>
      </c>
      <c r="M1030" s="9">
        <f t="array" ref="M1030">QUARTILE(IF($F$3:$F$1460=$F1030,$H$3:$H$1460),3)</f>
        <v>148.36000000000001</v>
      </c>
    </row>
    <row r="1031" spans="1:13" x14ac:dyDescent="0.25">
      <c r="A1031" s="7">
        <v>1072</v>
      </c>
      <c r="B1031" s="6" t="s">
        <v>977</v>
      </c>
      <c r="C1031" s="7">
        <v>4108813</v>
      </c>
      <c r="D1031" s="23" t="s">
        <v>978</v>
      </c>
      <c r="E1031" s="6" t="s">
        <v>979</v>
      </c>
      <c r="F1031" s="21" t="s">
        <v>31</v>
      </c>
      <c r="G1031" s="6" t="s">
        <v>998</v>
      </c>
      <c r="H1031" s="22">
        <v>346.1</v>
      </c>
      <c r="I1031" s="9">
        <v>4</v>
      </c>
      <c r="J1031" s="22">
        <f t="shared" si="10"/>
        <v>1384.4</v>
      </c>
      <c r="K1031" s="9">
        <f t="array" ref="K1031">QUARTILE(IF($F$3:$F$1460=$F1031,$H$3:$H$1460),1)</f>
        <v>55.5</v>
      </c>
      <c r="L1031" s="9">
        <f t="array" ref="L1031">QUARTILE(IF($F$3:$F$1460=$F1031,$H$3:$H$1460),2)</f>
        <v>91.88</v>
      </c>
      <c r="M1031" s="9">
        <f t="array" ref="M1031">QUARTILE(IF($F$3:$F$1460=$F1031,$H$3:$H$1460),3)</f>
        <v>148.36000000000001</v>
      </c>
    </row>
    <row r="1032" spans="1:13" x14ac:dyDescent="0.25">
      <c r="A1032" s="7">
        <v>1073</v>
      </c>
      <c r="B1032" s="6" t="s">
        <v>977</v>
      </c>
      <c r="C1032" s="7">
        <v>4108813</v>
      </c>
      <c r="D1032" s="23" t="s">
        <v>978</v>
      </c>
      <c r="E1032" s="6" t="s">
        <v>979</v>
      </c>
      <c r="F1032" s="21" t="s">
        <v>31</v>
      </c>
      <c r="G1032" s="6" t="s">
        <v>999</v>
      </c>
      <c r="H1032" s="22">
        <v>307.3</v>
      </c>
      <c r="I1032" s="9">
        <v>4</v>
      </c>
      <c r="J1032" s="22">
        <f t="shared" si="10"/>
        <v>1229.2</v>
      </c>
      <c r="K1032" s="9">
        <f t="array" ref="K1032">QUARTILE(IF($F$3:$F$1460=$F1032,$H$3:$H$1460),1)</f>
        <v>55.5</v>
      </c>
      <c r="L1032" s="9">
        <f t="array" ref="L1032">QUARTILE(IF($F$3:$F$1460=$F1032,$H$3:$H$1460),2)</f>
        <v>91.88</v>
      </c>
      <c r="M1032" s="9">
        <f t="array" ref="M1032">QUARTILE(IF($F$3:$F$1460=$F1032,$H$3:$H$1460),3)</f>
        <v>148.36000000000001</v>
      </c>
    </row>
    <row r="1033" spans="1:13" x14ac:dyDescent="0.25">
      <c r="A1033" s="7">
        <v>1074</v>
      </c>
      <c r="B1033" s="6" t="s">
        <v>977</v>
      </c>
      <c r="C1033" s="7">
        <v>4108813</v>
      </c>
      <c r="D1033" s="23" t="s">
        <v>978</v>
      </c>
      <c r="E1033" s="6" t="s">
        <v>979</v>
      </c>
      <c r="F1033" s="21" t="s">
        <v>31</v>
      </c>
      <c r="G1033" s="6" t="s">
        <v>1000</v>
      </c>
      <c r="H1033" s="22">
        <v>53.9</v>
      </c>
      <c r="I1033" s="9">
        <v>180</v>
      </c>
      <c r="J1033" s="22">
        <f t="shared" si="10"/>
        <v>9702</v>
      </c>
      <c r="K1033" s="9">
        <f t="array" ref="K1033">QUARTILE(IF($F$3:$F$1460=$F1033,$H$3:$H$1460),1)</f>
        <v>55.5</v>
      </c>
      <c r="L1033" s="9">
        <f t="array" ref="L1033">QUARTILE(IF($F$3:$F$1460=$F1033,$H$3:$H$1460),2)</f>
        <v>91.88</v>
      </c>
      <c r="M1033" s="9">
        <f t="array" ref="M1033">QUARTILE(IF($F$3:$F$1460=$F1033,$H$3:$H$1460),3)</f>
        <v>148.36000000000001</v>
      </c>
    </row>
    <row r="1034" spans="1:13" x14ac:dyDescent="0.25">
      <c r="A1034" s="7">
        <v>1075</v>
      </c>
      <c r="B1034" s="6" t="s">
        <v>977</v>
      </c>
      <c r="C1034" s="7">
        <v>4108813</v>
      </c>
      <c r="D1034" s="23" t="s">
        <v>978</v>
      </c>
      <c r="E1034" s="6" t="s">
        <v>979</v>
      </c>
      <c r="F1034" s="21" t="s">
        <v>31</v>
      </c>
      <c r="G1034" s="6" t="s">
        <v>1001</v>
      </c>
      <c r="H1034" s="22">
        <v>90</v>
      </c>
      <c r="I1034" s="9">
        <v>180</v>
      </c>
      <c r="J1034" s="22">
        <f t="shared" si="10"/>
        <v>16200</v>
      </c>
      <c r="K1034" s="9">
        <f t="array" ref="K1034">QUARTILE(IF($F$3:$F$1460=$F1034,$H$3:$H$1460),1)</f>
        <v>55.5</v>
      </c>
      <c r="L1034" s="9">
        <f t="array" ref="L1034">QUARTILE(IF($F$3:$F$1460=$F1034,$H$3:$H$1460),2)</f>
        <v>91.88</v>
      </c>
      <c r="M1034" s="9">
        <f t="array" ref="M1034">QUARTILE(IF($F$3:$F$1460=$F1034,$H$3:$H$1460),3)</f>
        <v>148.36000000000001</v>
      </c>
    </row>
    <row r="1035" spans="1:13" x14ac:dyDescent="0.25">
      <c r="A1035" s="7">
        <v>1076</v>
      </c>
      <c r="B1035" s="6" t="s">
        <v>977</v>
      </c>
      <c r="C1035" s="7">
        <v>4108813</v>
      </c>
      <c r="D1035" s="23" t="s">
        <v>978</v>
      </c>
      <c r="E1035" s="6" t="s">
        <v>979</v>
      </c>
      <c r="F1035" s="21" t="s">
        <v>31</v>
      </c>
      <c r="G1035" s="6" t="s">
        <v>1002</v>
      </c>
      <c r="H1035" s="22">
        <v>47.9</v>
      </c>
      <c r="I1035" s="9">
        <v>250</v>
      </c>
      <c r="J1035" s="22">
        <f t="shared" si="10"/>
        <v>11975</v>
      </c>
      <c r="K1035" s="9">
        <f t="array" ref="K1035">QUARTILE(IF($F$3:$F$1460=$F1035,$H$3:$H$1460),1)</f>
        <v>55.5</v>
      </c>
      <c r="L1035" s="9">
        <f t="array" ref="L1035">QUARTILE(IF($F$3:$F$1460=$F1035,$H$3:$H$1460),2)</f>
        <v>91.88</v>
      </c>
      <c r="M1035" s="9">
        <f t="array" ref="M1035">QUARTILE(IF($F$3:$F$1460=$F1035,$H$3:$H$1460),3)</f>
        <v>148.36000000000001</v>
      </c>
    </row>
    <row r="1036" spans="1:13" x14ac:dyDescent="0.25">
      <c r="A1036" s="7">
        <v>1077</v>
      </c>
      <c r="B1036" s="6" t="s">
        <v>977</v>
      </c>
      <c r="C1036" s="7">
        <v>4108813</v>
      </c>
      <c r="D1036" s="23" t="s">
        <v>978</v>
      </c>
      <c r="E1036" s="6" t="s">
        <v>979</v>
      </c>
      <c r="F1036" s="21" t="s">
        <v>31</v>
      </c>
      <c r="G1036" s="6" t="s">
        <v>1003</v>
      </c>
      <c r="H1036" s="22">
        <v>68</v>
      </c>
      <c r="I1036" s="9">
        <v>200</v>
      </c>
      <c r="J1036" s="22">
        <f t="shared" si="10"/>
        <v>13600</v>
      </c>
      <c r="K1036" s="9">
        <f t="array" ref="K1036">QUARTILE(IF($F$3:$F$1460=$F1036,$H$3:$H$1460),1)</f>
        <v>55.5</v>
      </c>
      <c r="L1036" s="9">
        <f t="array" ref="L1036">QUARTILE(IF($F$3:$F$1460=$F1036,$H$3:$H$1460),2)</f>
        <v>91.88</v>
      </c>
      <c r="M1036" s="9">
        <f t="array" ref="M1036">QUARTILE(IF($F$3:$F$1460=$F1036,$H$3:$H$1460),3)</f>
        <v>148.36000000000001</v>
      </c>
    </row>
    <row r="1037" spans="1:13" x14ac:dyDescent="0.25">
      <c r="A1037" s="7">
        <v>1078</v>
      </c>
      <c r="B1037" s="6" t="s">
        <v>977</v>
      </c>
      <c r="C1037" s="7">
        <v>4108813</v>
      </c>
      <c r="D1037" s="23" t="s">
        <v>978</v>
      </c>
      <c r="E1037" s="6" t="s">
        <v>979</v>
      </c>
      <c r="F1037" s="21" t="s">
        <v>31</v>
      </c>
      <c r="G1037" s="6" t="s">
        <v>1004</v>
      </c>
      <c r="H1037" s="22">
        <v>79.7</v>
      </c>
      <c r="I1037" s="9">
        <v>64</v>
      </c>
      <c r="J1037" s="22">
        <f t="shared" si="10"/>
        <v>5100.8</v>
      </c>
      <c r="K1037" s="9">
        <f t="array" ref="K1037">QUARTILE(IF($F$3:$F$1460=$F1037,$H$3:$H$1460),1)</f>
        <v>55.5</v>
      </c>
      <c r="L1037" s="9">
        <f t="array" ref="L1037">QUARTILE(IF($F$3:$F$1460=$F1037,$H$3:$H$1460),2)</f>
        <v>91.88</v>
      </c>
      <c r="M1037" s="9">
        <f t="array" ref="M1037">QUARTILE(IF($F$3:$F$1460=$F1037,$H$3:$H$1460),3)</f>
        <v>148.36000000000001</v>
      </c>
    </row>
    <row r="1038" spans="1:13" x14ac:dyDescent="0.25">
      <c r="A1038" s="7">
        <v>1079</v>
      </c>
      <c r="B1038" s="6" t="s">
        <v>977</v>
      </c>
      <c r="C1038" s="7">
        <v>4108813</v>
      </c>
      <c r="D1038" s="23" t="s">
        <v>978</v>
      </c>
      <c r="E1038" s="6" t="s">
        <v>979</v>
      </c>
      <c r="F1038" s="21" t="s">
        <v>31</v>
      </c>
      <c r="G1038" s="6" t="s">
        <v>1005</v>
      </c>
      <c r="H1038" s="22">
        <v>120.3</v>
      </c>
      <c r="I1038" s="9">
        <v>280</v>
      </c>
      <c r="J1038" s="22">
        <f t="shared" si="10"/>
        <v>33684</v>
      </c>
      <c r="K1038" s="9">
        <f t="array" ref="K1038">QUARTILE(IF($F$3:$F$1460=$F1038,$H$3:$H$1460),1)</f>
        <v>55.5</v>
      </c>
      <c r="L1038" s="9">
        <f t="array" ref="L1038">QUARTILE(IF($F$3:$F$1460=$F1038,$H$3:$H$1460),2)</f>
        <v>91.88</v>
      </c>
      <c r="M1038" s="9">
        <f t="array" ref="M1038">QUARTILE(IF($F$3:$F$1460=$F1038,$H$3:$H$1460),3)</f>
        <v>148.36000000000001</v>
      </c>
    </row>
    <row r="1039" spans="1:13" x14ac:dyDescent="0.25">
      <c r="A1039" s="7">
        <v>1080</v>
      </c>
      <c r="B1039" s="6" t="s">
        <v>977</v>
      </c>
      <c r="C1039" s="7">
        <v>4108813</v>
      </c>
      <c r="D1039" s="23" t="s">
        <v>978</v>
      </c>
      <c r="E1039" s="6" t="s">
        <v>979</v>
      </c>
      <c r="F1039" s="21" t="s">
        <v>31</v>
      </c>
      <c r="G1039" s="6" t="s">
        <v>1006</v>
      </c>
      <c r="H1039" s="22">
        <v>189.9</v>
      </c>
      <c r="I1039" s="9">
        <v>50</v>
      </c>
      <c r="J1039" s="22">
        <f t="shared" si="10"/>
        <v>9495</v>
      </c>
      <c r="K1039" s="9">
        <f t="array" ref="K1039">QUARTILE(IF($F$3:$F$1460=$F1039,$H$3:$H$1460),1)</f>
        <v>55.5</v>
      </c>
      <c r="L1039" s="9">
        <f t="array" ref="L1039">QUARTILE(IF($F$3:$F$1460=$F1039,$H$3:$H$1460),2)</f>
        <v>91.88</v>
      </c>
      <c r="M1039" s="9">
        <f t="array" ref="M1039">QUARTILE(IF($F$3:$F$1460=$F1039,$H$3:$H$1460),3)</f>
        <v>148.36000000000001</v>
      </c>
    </row>
    <row r="1040" spans="1:13" x14ac:dyDescent="0.25">
      <c r="A1040" s="7">
        <v>1081</v>
      </c>
      <c r="B1040" s="6" t="s">
        <v>977</v>
      </c>
      <c r="C1040" s="7">
        <v>4108813</v>
      </c>
      <c r="D1040" s="23" t="s">
        <v>978</v>
      </c>
      <c r="E1040" s="6" t="s">
        <v>979</v>
      </c>
      <c r="F1040" s="21" t="s">
        <v>31</v>
      </c>
      <c r="G1040" s="6" t="s">
        <v>1007</v>
      </c>
      <c r="H1040" s="22">
        <v>122.5</v>
      </c>
      <c r="I1040" s="9">
        <v>210</v>
      </c>
      <c r="J1040" s="22">
        <f t="shared" si="10"/>
        <v>25725</v>
      </c>
      <c r="K1040" s="9">
        <f t="array" ref="K1040">QUARTILE(IF($F$3:$F$1460=$F1040,$H$3:$H$1460),1)</f>
        <v>55.5</v>
      </c>
      <c r="L1040" s="9">
        <f t="array" ref="L1040">QUARTILE(IF($F$3:$F$1460=$F1040,$H$3:$H$1460),2)</f>
        <v>91.88</v>
      </c>
      <c r="M1040" s="9">
        <f t="array" ref="M1040">QUARTILE(IF($F$3:$F$1460=$F1040,$H$3:$H$1460),3)</f>
        <v>148.36000000000001</v>
      </c>
    </row>
    <row r="1041" spans="1:13" x14ac:dyDescent="0.25">
      <c r="A1041" s="7">
        <v>1082</v>
      </c>
      <c r="B1041" s="6" t="s">
        <v>977</v>
      </c>
      <c r="C1041" s="7">
        <v>4108813</v>
      </c>
      <c r="D1041" s="23" t="s">
        <v>978</v>
      </c>
      <c r="E1041" s="6" t="s">
        <v>979</v>
      </c>
      <c r="F1041" s="21" t="s">
        <v>31</v>
      </c>
      <c r="G1041" s="6" t="s">
        <v>1008</v>
      </c>
      <c r="H1041" s="22">
        <v>187</v>
      </c>
      <c r="I1041" s="9">
        <v>102</v>
      </c>
      <c r="J1041" s="22">
        <f t="shared" si="10"/>
        <v>19074</v>
      </c>
      <c r="K1041" s="9">
        <f t="array" ref="K1041">QUARTILE(IF($F$3:$F$1460=$F1041,$H$3:$H$1460),1)</f>
        <v>55.5</v>
      </c>
      <c r="L1041" s="9">
        <f t="array" ref="L1041">QUARTILE(IF($F$3:$F$1460=$F1041,$H$3:$H$1460),2)</f>
        <v>91.88</v>
      </c>
      <c r="M1041" s="9">
        <f t="array" ref="M1041">QUARTILE(IF($F$3:$F$1460=$F1041,$H$3:$H$1460),3)</f>
        <v>148.36000000000001</v>
      </c>
    </row>
    <row r="1042" spans="1:13" x14ac:dyDescent="0.25">
      <c r="A1042" s="7">
        <v>1083</v>
      </c>
      <c r="B1042" s="6" t="s">
        <v>977</v>
      </c>
      <c r="C1042" s="7">
        <v>4108813</v>
      </c>
      <c r="D1042" s="23" t="s">
        <v>978</v>
      </c>
      <c r="E1042" s="6" t="s">
        <v>979</v>
      </c>
      <c r="F1042" s="21" t="s">
        <v>31</v>
      </c>
      <c r="G1042" s="6" t="s">
        <v>1009</v>
      </c>
      <c r="H1042" s="22">
        <v>44</v>
      </c>
      <c r="I1042" s="9">
        <v>240</v>
      </c>
      <c r="J1042" s="22">
        <f t="shared" si="10"/>
        <v>10560</v>
      </c>
      <c r="K1042" s="9">
        <f t="array" ref="K1042">QUARTILE(IF($F$3:$F$1460=$F1042,$H$3:$H$1460),1)</f>
        <v>55.5</v>
      </c>
      <c r="L1042" s="9">
        <f t="array" ref="L1042">QUARTILE(IF($F$3:$F$1460=$F1042,$H$3:$H$1460),2)</f>
        <v>91.88</v>
      </c>
      <c r="M1042" s="9">
        <f t="array" ref="M1042">QUARTILE(IF($F$3:$F$1460=$F1042,$H$3:$H$1460),3)</f>
        <v>148.36000000000001</v>
      </c>
    </row>
    <row r="1043" spans="1:13" x14ac:dyDescent="0.25">
      <c r="A1043" s="7">
        <v>1084</v>
      </c>
      <c r="B1043" s="6" t="s">
        <v>977</v>
      </c>
      <c r="C1043" s="7">
        <v>4108813</v>
      </c>
      <c r="D1043" s="23" t="s">
        <v>978</v>
      </c>
      <c r="E1043" s="6" t="s">
        <v>979</v>
      </c>
      <c r="F1043" s="21" t="s">
        <v>31</v>
      </c>
      <c r="G1043" s="6" t="s">
        <v>1010</v>
      </c>
      <c r="H1043" s="22">
        <v>82</v>
      </c>
      <c r="I1043" s="9">
        <v>500</v>
      </c>
      <c r="J1043" s="22">
        <f t="shared" si="10"/>
        <v>41000</v>
      </c>
      <c r="K1043" s="9">
        <f t="array" ref="K1043">QUARTILE(IF($F$3:$F$1460=$F1043,$H$3:$H$1460),1)</f>
        <v>55.5</v>
      </c>
      <c r="L1043" s="9">
        <f t="array" ref="L1043">QUARTILE(IF($F$3:$F$1460=$F1043,$H$3:$H$1460),2)</f>
        <v>91.88</v>
      </c>
      <c r="M1043" s="9">
        <f t="array" ref="M1043">QUARTILE(IF($F$3:$F$1460=$F1043,$H$3:$H$1460),3)</f>
        <v>148.36000000000001</v>
      </c>
    </row>
    <row r="1044" spans="1:13" x14ac:dyDescent="0.25">
      <c r="A1044" s="7">
        <v>1085</v>
      </c>
      <c r="B1044" s="6" t="s">
        <v>977</v>
      </c>
      <c r="C1044" s="7">
        <v>4108813</v>
      </c>
      <c r="D1044" s="23" t="s">
        <v>978</v>
      </c>
      <c r="E1044" s="6" t="s">
        <v>979</v>
      </c>
      <c r="F1044" s="21" t="s">
        <v>31</v>
      </c>
      <c r="G1044" s="6" t="s">
        <v>1011</v>
      </c>
      <c r="H1044" s="22">
        <v>45.84</v>
      </c>
      <c r="I1044" s="9">
        <v>400</v>
      </c>
      <c r="J1044" s="22">
        <f t="shared" si="10"/>
        <v>18336</v>
      </c>
      <c r="K1044" s="9">
        <f t="array" ref="K1044">QUARTILE(IF($F$3:$F$1460=$F1044,$H$3:$H$1460),1)</f>
        <v>55.5</v>
      </c>
      <c r="L1044" s="9">
        <f t="array" ref="L1044">QUARTILE(IF($F$3:$F$1460=$F1044,$H$3:$H$1460),2)</f>
        <v>91.88</v>
      </c>
      <c r="M1044" s="9">
        <f t="array" ref="M1044">QUARTILE(IF($F$3:$F$1460=$F1044,$H$3:$H$1460),3)</f>
        <v>148.36000000000001</v>
      </c>
    </row>
    <row r="1045" spans="1:13" x14ac:dyDescent="0.25">
      <c r="A1045" s="7">
        <v>1086</v>
      </c>
      <c r="B1045" s="6" t="s">
        <v>977</v>
      </c>
      <c r="C1045" s="7">
        <v>4108813</v>
      </c>
      <c r="D1045" s="23" t="s">
        <v>978</v>
      </c>
      <c r="E1045" s="6" t="s">
        <v>979</v>
      </c>
      <c r="F1045" s="21" t="s">
        <v>31</v>
      </c>
      <c r="G1045" s="6" t="s">
        <v>1012</v>
      </c>
      <c r="H1045" s="22">
        <v>54.03</v>
      </c>
      <c r="I1045" s="9">
        <v>180</v>
      </c>
      <c r="J1045" s="22">
        <f t="shared" si="10"/>
        <v>9725.4</v>
      </c>
      <c r="K1045" s="9">
        <f t="array" ref="K1045">QUARTILE(IF($F$3:$F$1460=$F1045,$H$3:$H$1460),1)</f>
        <v>55.5</v>
      </c>
      <c r="L1045" s="9">
        <f t="array" ref="L1045">QUARTILE(IF($F$3:$F$1460=$F1045,$H$3:$H$1460),2)</f>
        <v>91.88</v>
      </c>
      <c r="M1045" s="9">
        <f t="array" ref="M1045">QUARTILE(IF($F$3:$F$1460=$F1045,$H$3:$H$1460),3)</f>
        <v>148.36000000000001</v>
      </c>
    </row>
    <row r="1046" spans="1:13" x14ac:dyDescent="0.25">
      <c r="A1046" s="7">
        <v>1087</v>
      </c>
      <c r="B1046" s="6" t="s">
        <v>977</v>
      </c>
      <c r="C1046" s="7">
        <v>4108813</v>
      </c>
      <c r="D1046" s="23" t="s">
        <v>978</v>
      </c>
      <c r="E1046" s="6" t="s">
        <v>979</v>
      </c>
      <c r="F1046" s="21" t="s">
        <v>31</v>
      </c>
      <c r="G1046" s="6" t="s">
        <v>1013</v>
      </c>
      <c r="H1046" s="22">
        <v>71.099999999999994</v>
      </c>
      <c r="I1046" s="9">
        <v>100</v>
      </c>
      <c r="J1046" s="22">
        <f t="shared" si="10"/>
        <v>7109.9999999999991</v>
      </c>
      <c r="K1046" s="9">
        <f t="array" ref="K1046">QUARTILE(IF($F$3:$F$1460=$F1046,$H$3:$H$1460),1)</f>
        <v>55.5</v>
      </c>
      <c r="L1046" s="9">
        <f t="array" ref="L1046">QUARTILE(IF($F$3:$F$1460=$F1046,$H$3:$H$1460),2)</f>
        <v>91.88</v>
      </c>
      <c r="M1046" s="9">
        <f t="array" ref="M1046">QUARTILE(IF($F$3:$F$1460=$F1046,$H$3:$H$1460),3)</f>
        <v>148.36000000000001</v>
      </c>
    </row>
    <row r="1047" spans="1:13" x14ac:dyDescent="0.25">
      <c r="A1047" s="7">
        <v>1088</v>
      </c>
      <c r="B1047" s="6" t="s">
        <v>977</v>
      </c>
      <c r="C1047" s="7">
        <v>4108813</v>
      </c>
      <c r="D1047" s="23" t="s">
        <v>978</v>
      </c>
      <c r="E1047" s="6" t="s">
        <v>979</v>
      </c>
      <c r="F1047" s="21" t="s">
        <v>20</v>
      </c>
      <c r="G1047" s="6" t="s">
        <v>1014</v>
      </c>
      <c r="H1047" s="22">
        <v>14.9</v>
      </c>
      <c r="I1047" s="9">
        <v>43</v>
      </c>
      <c r="J1047" s="22">
        <f t="shared" si="10"/>
        <v>640.70000000000005</v>
      </c>
      <c r="K1047" s="9">
        <f t="array" ref="K1047">QUARTILE(IF($F$3:$F$1460=$F1047,$H$3:$H$1460),1)</f>
        <v>22.082500000000003</v>
      </c>
      <c r="L1047" s="9">
        <f t="array" ref="L1047">QUARTILE(IF($F$3:$F$1460=$F1047,$H$3:$H$1460),2)</f>
        <v>31.15</v>
      </c>
      <c r="M1047" s="9">
        <f t="array" ref="M1047">QUARTILE(IF($F$3:$F$1460=$F1047,$H$3:$H$1460),3)</f>
        <v>48.125</v>
      </c>
    </row>
    <row r="1048" spans="1:13" x14ac:dyDescent="0.25">
      <c r="A1048" s="7">
        <v>1089</v>
      </c>
      <c r="B1048" s="6" t="s">
        <v>977</v>
      </c>
      <c r="C1048" s="7">
        <v>4108813</v>
      </c>
      <c r="D1048" s="23" t="s">
        <v>978</v>
      </c>
      <c r="E1048" s="6" t="s">
        <v>979</v>
      </c>
      <c r="F1048" s="21" t="s">
        <v>20</v>
      </c>
      <c r="G1048" s="6" t="s">
        <v>1015</v>
      </c>
      <c r="H1048" s="22">
        <v>22.6</v>
      </c>
      <c r="I1048" s="9">
        <v>450</v>
      </c>
      <c r="J1048" s="22">
        <f t="shared" si="10"/>
        <v>10170</v>
      </c>
      <c r="K1048" s="9">
        <f t="array" ref="K1048">QUARTILE(IF($F$3:$F$1460=$F1048,$H$3:$H$1460),1)</f>
        <v>22.082500000000003</v>
      </c>
      <c r="L1048" s="9">
        <f t="array" ref="L1048">QUARTILE(IF($F$3:$F$1460=$F1048,$H$3:$H$1460),2)</f>
        <v>31.15</v>
      </c>
      <c r="M1048" s="9">
        <f t="array" ref="M1048">QUARTILE(IF($F$3:$F$1460=$F1048,$H$3:$H$1460),3)</f>
        <v>48.125</v>
      </c>
    </row>
    <row r="1049" spans="1:13" x14ac:dyDescent="0.25">
      <c r="A1049" s="7">
        <v>1090</v>
      </c>
      <c r="B1049" s="6" t="s">
        <v>977</v>
      </c>
      <c r="C1049" s="7">
        <v>4108813</v>
      </c>
      <c r="D1049" s="23" t="s">
        <v>978</v>
      </c>
      <c r="E1049" s="6" t="s">
        <v>979</v>
      </c>
      <c r="F1049" s="21" t="s">
        <v>20</v>
      </c>
      <c r="G1049" s="6" t="s">
        <v>1016</v>
      </c>
      <c r="H1049" s="22">
        <v>22.6</v>
      </c>
      <c r="I1049" s="9">
        <v>430</v>
      </c>
      <c r="J1049" s="22">
        <f t="shared" si="10"/>
        <v>9718</v>
      </c>
      <c r="K1049" s="9">
        <f t="array" ref="K1049">QUARTILE(IF($F$3:$F$1460=$F1049,$H$3:$H$1460),1)</f>
        <v>22.082500000000003</v>
      </c>
      <c r="L1049" s="9">
        <f t="array" ref="L1049">QUARTILE(IF($F$3:$F$1460=$F1049,$H$3:$H$1460),2)</f>
        <v>31.15</v>
      </c>
      <c r="M1049" s="9">
        <f t="array" ref="M1049">QUARTILE(IF($F$3:$F$1460=$F1049,$H$3:$H$1460),3)</f>
        <v>48.125</v>
      </c>
    </row>
    <row r="1050" spans="1:13" x14ac:dyDescent="0.25">
      <c r="A1050" s="7">
        <v>1091</v>
      </c>
      <c r="B1050" s="6" t="s">
        <v>977</v>
      </c>
      <c r="C1050" s="7">
        <v>4108813</v>
      </c>
      <c r="D1050" s="23" t="s">
        <v>978</v>
      </c>
      <c r="E1050" s="6" t="s">
        <v>979</v>
      </c>
      <c r="F1050" s="21" t="s">
        <v>20</v>
      </c>
      <c r="G1050" s="6" t="s">
        <v>1017</v>
      </c>
      <c r="H1050" s="22">
        <v>22.6</v>
      </c>
      <c r="I1050" s="9">
        <v>180</v>
      </c>
      <c r="J1050" s="22">
        <f t="shared" si="10"/>
        <v>4068.0000000000005</v>
      </c>
      <c r="K1050" s="9">
        <f t="array" ref="K1050">QUARTILE(IF($F$3:$F$1460=$F1050,$H$3:$H$1460),1)</f>
        <v>22.082500000000003</v>
      </c>
      <c r="L1050" s="9">
        <f t="array" ref="L1050">QUARTILE(IF($F$3:$F$1460=$F1050,$H$3:$H$1460),2)</f>
        <v>31.15</v>
      </c>
      <c r="M1050" s="9">
        <f t="array" ref="M1050">QUARTILE(IF($F$3:$F$1460=$F1050,$H$3:$H$1460),3)</f>
        <v>48.125</v>
      </c>
    </row>
    <row r="1051" spans="1:13" x14ac:dyDescent="0.25">
      <c r="A1051" s="7">
        <v>1092</v>
      </c>
      <c r="B1051" s="6" t="s">
        <v>977</v>
      </c>
      <c r="C1051" s="7">
        <v>4108813</v>
      </c>
      <c r="D1051" s="23" t="s">
        <v>978</v>
      </c>
      <c r="E1051" s="6" t="s">
        <v>979</v>
      </c>
      <c r="F1051" s="21" t="s">
        <v>8</v>
      </c>
      <c r="G1051" s="6" t="s">
        <v>1018</v>
      </c>
      <c r="H1051" s="22">
        <v>3.37</v>
      </c>
      <c r="I1051" s="9">
        <v>1900</v>
      </c>
      <c r="J1051" s="22">
        <f t="shared" si="10"/>
        <v>6403</v>
      </c>
      <c r="K1051" s="9">
        <f t="array" ref="K1051">QUARTILE(IF($F$3:$F$1460=$F1051,$H$3:$H$1460),1)</f>
        <v>4.9000000000000004</v>
      </c>
      <c r="L1051" s="9">
        <f t="array" ref="L1051">QUARTILE(IF($F$3:$F$1460=$F1051,$H$3:$H$1460),2)</f>
        <v>8.4</v>
      </c>
      <c r="M1051" s="9">
        <f t="array" ref="M1051">QUARTILE(IF($F$3:$F$1460=$F1051,$H$3:$H$1460),3)</f>
        <v>14</v>
      </c>
    </row>
    <row r="1052" spans="1:13" x14ac:dyDescent="0.25">
      <c r="A1052" s="7">
        <v>1093</v>
      </c>
      <c r="B1052" s="6" t="s">
        <v>977</v>
      </c>
      <c r="C1052" s="7">
        <v>4108813</v>
      </c>
      <c r="D1052" s="23" t="s">
        <v>978</v>
      </c>
      <c r="E1052" s="6" t="s">
        <v>979</v>
      </c>
      <c r="F1052" s="21" t="s">
        <v>8</v>
      </c>
      <c r="G1052" s="6" t="s">
        <v>1019</v>
      </c>
      <c r="H1052" s="22">
        <v>4.68</v>
      </c>
      <c r="I1052" s="9">
        <v>1200</v>
      </c>
      <c r="J1052" s="22">
        <f t="shared" si="10"/>
        <v>5616</v>
      </c>
      <c r="K1052" s="9">
        <f t="array" ref="K1052">QUARTILE(IF($F$3:$F$1460=$F1052,$H$3:$H$1460),1)</f>
        <v>4.9000000000000004</v>
      </c>
      <c r="L1052" s="9">
        <f t="array" ref="L1052">QUARTILE(IF($F$3:$F$1460=$F1052,$H$3:$H$1460),2)</f>
        <v>8.4</v>
      </c>
      <c r="M1052" s="9">
        <f t="array" ref="M1052">QUARTILE(IF($F$3:$F$1460=$F1052,$H$3:$H$1460),3)</f>
        <v>14</v>
      </c>
    </row>
    <row r="1053" spans="1:13" x14ac:dyDescent="0.25">
      <c r="A1053" s="7">
        <v>1094</v>
      </c>
      <c r="B1053" s="6" t="s">
        <v>977</v>
      </c>
      <c r="C1053" s="7">
        <v>4108813</v>
      </c>
      <c r="D1053" s="23" t="s">
        <v>978</v>
      </c>
      <c r="E1053" s="6" t="s">
        <v>979</v>
      </c>
      <c r="F1053" s="21" t="s">
        <v>8</v>
      </c>
      <c r="G1053" s="6" t="s">
        <v>1020</v>
      </c>
      <c r="H1053" s="22">
        <v>7.66</v>
      </c>
      <c r="I1053" s="9">
        <v>1000</v>
      </c>
      <c r="J1053" s="22">
        <f t="shared" si="10"/>
        <v>7660</v>
      </c>
      <c r="K1053" s="9">
        <f t="array" ref="K1053">QUARTILE(IF($F$3:$F$1460=$F1053,$H$3:$H$1460),1)</f>
        <v>4.9000000000000004</v>
      </c>
      <c r="L1053" s="9">
        <f t="array" ref="L1053">QUARTILE(IF($F$3:$F$1460=$F1053,$H$3:$H$1460),2)</f>
        <v>8.4</v>
      </c>
      <c r="M1053" s="9">
        <f t="array" ref="M1053">QUARTILE(IF($F$3:$F$1460=$F1053,$H$3:$H$1460),3)</f>
        <v>14</v>
      </c>
    </row>
    <row r="1054" spans="1:13" x14ac:dyDescent="0.25">
      <c r="A1054" s="7">
        <v>1095</v>
      </c>
      <c r="B1054" s="6" t="s">
        <v>977</v>
      </c>
      <c r="C1054" s="7">
        <v>4108813</v>
      </c>
      <c r="D1054" s="23" t="s">
        <v>978</v>
      </c>
      <c r="E1054" s="6" t="s">
        <v>979</v>
      </c>
      <c r="F1054" s="21" t="s">
        <v>8</v>
      </c>
      <c r="G1054" s="6" t="s">
        <v>1021</v>
      </c>
      <c r="H1054" s="22">
        <v>17.07</v>
      </c>
      <c r="I1054" s="9">
        <v>300</v>
      </c>
      <c r="J1054" s="22">
        <f t="shared" si="10"/>
        <v>5121</v>
      </c>
      <c r="K1054" s="9">
        <f t="array" ref="K1054">QUARTILE(IF($F$3:$F$1460=$F1054,$H$3:$H$1460),1)</f>
        <v>4.9000000000000004</v>
      </c>
      <c r="L1054" s="9">
        <f t="array" ref="L1054">QUARTILE(IF($F$3:$F$1460=$F1054,$H$3:$H$1460),2)</f>
        <v>8.4</v>
      </c>
      <c r="M1054" s="9">
        <f t="array" ref="M1054">QUARTILE(IF($F$3:$F$1460=$F1054,$H$3:$H$1460),3)</f>
        <v>14</v>
      </c>
    </row>
    <row r="1055" spans="1:13" x14ac:dyDescent="0.25">
      <c r="A1055" s="7">
        <v>1096</v>
      </c>
      <c r="B1055" s="6" t="s">
        <v>977</v>
      </c>
      <c r="C1055" s="7">
        <v>4108813</v>
      </c>
      <c r="D1055" s="23" t="s">
        <v>978</v>
      </c>
      <c r="E1055" s="6" t="s">
        <v>979</v>
      </c>
      <c r="F1055" s="21" t="s">
        <v>44</v>
      </c>
      <c r="G1055" s="6" t="s">
        <v>1022</v>
      </c>
      <c r="H1055" s="22">
        <v>137.69999999999999</v>
      </c>
      <c r="I1055" s="9">
        <v>360</v>
      </c>
      <c r="J1055" s="22">
        <f t="shared" si="10"/>
        <v>49571.999999999993</v>
      </c>
      <c r="K1055" s="9">
        <f t="array" ref="K1055">QUARTILE(IF($F$3:$F$1460=$F1055,$H$3:$H$1460),1)</f>
        <v>141.67500000000001</v>
      </c>
      <c r="L1055" s="9">
        <f t="array" ref="L1055">QUARTILE(IF($F$3:$F$1460=$F1055,$H$3:$H$1460),2)</f>
        <v>194</v>
      </c>
      <c r="M1055" s="9">
        <f t="array" ref="M1055">QUARTILE(IF($F$3:$F$1460=$F1055,$H$3:$H$1460),3)</f>
        <v>266.75</v>
      </c>
    </row>
    <row r="1056" spans="1:13" x14ac:dyDescent="0.25">
      <c r="A1056" s="7">
        <v>1097</v>
      </c>
      <c r="B1056" s="6" t="s">
        <v>1023</v>
      </c>
      <c r="C1056" s="7">
        <v>3851007</v>
      </c>
      <c r="D1056" s="23" t="s">
        <v>1024</v>
      </c>
      <c r="E1056" s="6" t="s">
        <v>1025</v>
      </c>
      <c r="F1056" s="21" t="s">
        <v>60</v>
      </c>
      <c r="G1056" s="6" t="s">
        <v>1026</v>
      </c>
      <c r="H1056" s="22">
        <v>1660</v>
      </c>
      <c r="I1056" s="9">
        <v>64</v>
      </c>
      <c r="J1056" s="22">
        <f t="shared" si="10"/>
        <v>106240</v>
      </c>
      <c r="K1056" s="9">
        <f t="array" ref="K1056">QUARTILE(IF($F$3:$F$1460=$F1056,$H$3:$H$1460),1)</f>
        <v>680</v>
      </c>
      <c r="L1056" s="9">
        <f t="array" ref="L1056">QUARTILE(IF($F$3:$F$1460=$F1056,$H$3:$H$1460),2)</f>
        <v>991</v>
      </c>
      <c r="M1056" s="9">
        <f t="array" ref="M1056">QUARTILE(IF($F$3:$F$1460=$F1056,$H$3:$H$1460),3)</f>
        <v>1485.8333333333335</v>
      </c>
    </row>
    <row r="1057" spans="1:13" x14ac:dyDescent="0.25">
      <c r="A1057" s="7">
        <v>1098</v>
      </c>
      <c r="B1057" s="6" t="s">
        <v>890</v>
      </c>
      <c r="C1057" s="7">
        <v>3851007</v>
      </c>
      <c r="D1057" s="23" t="s">
        <v>1024</v>
      </c>
      <c r="E1057" s="6" t="s">
        <v>1025</v>
      </c>
      <c r="F1057" s="21" t="s">
        <v>60</v>
      </c>
      <c r="G1057" s="6" t="s">
        <v>1027</v>
      </c>
      <c r="H1057" s="22">
        <v>1930</v>
      </c>
      <c r="I1057" s="9">
        <v>7</v>
      </c>
      <c r="J1057" s="22">
        <f t="shared" si="10"/>
        <v>13510</v>
      </c>
      <c r="K1057" s="9">
        <f t="array" ref="K1057">QUARTILE(IF($F$3:$F$1460=$F1057,$H$3:$H$1460),1)</f>
        <v>680</v>
      </c>
      <c r="L1057" s="9">
        <f t="array" ref="L1057">QUARTILE(IF($F$3:$F$1460=$F1057,$H$3:$H$1460),2)</f>
        <v>991</v>
      </c>
      <c r="M1057" s="9">
        <f t="array" ref="M1057">QUARTILE(IF($F$3:$F$1460=$F1057,$H$3:$H$1460),3)</f>
        <v>1485.8333333333335</v>
      </c>
    </row>
    <row r="1058" spans="1:13" x14ac:dyDescent="0.25">
      <c r="A1058" s="7">
        <v>1099</v>
      </c>
      <c r="B1058" s="6" t="s">
        <v>1028</v>
      </c>
      <c r="C1058" s="7">
        <v>3851007</v>
      </c>
      <c r="D1058" s="23" t="s">
        <v>1024</v>
      </c>
      <c r="E1058" s="6" t="s">
        <v>1025</v>
      </c>
      <c r="F1058" s="21" t="s">
        <v>60</v>
      </c>
      <c r="G1058" s="6" t="s">
        <v>1029</v>
      </c>
      <c r="H1058" s="22">
        <v>1345</v>
      </c>
      <c r="I1058" s="9">
        <v>59</v>
      </c>
      <c r="J1058" s="22">
        <f t="shared" si="10"/>
        <v>79355</v>
      </c>
      <c r="K1058" s="9">
        <f t="array" ref="K1058">QUARTILE(IF($F$3:$F$1460=$F1058,$H$3:$H$1460),1)</f>
        <v>680</v>
      </c>
      <c r="L1058" s="9">
        <f t="array" ref="L1058">QUARTILE(IF($F$3:$F$1460=$F1058,$H$3:$H$1460),2)</f>
        <v>991</v>
      </c>
      <c r="M1058" s="9">
        <f t="array" ref="M1058">QUARTILE(IF($F$3:$F$1460=$F1058,$H$3:$H$1460),3)</f>
        <v>1485.8333333333335</v>
      </c>
    </row>
    <row r="1059" spans="1:13" x14ac:dyDescent="0.25">
      <c r="A1059" s="7">
        <v>1100</v>
      </c>
      <c r="B1059" s="6" t="s">
        <v>1030</v>
      </c>
      <c r="C1059" s="7">
        <v>3851007</v>
      </c>
      <c r="D1059" s="23" t="s">
        <v>1024</v>
      </c>
      <c r="E1059" s="6" t="s">
        <v>1025</v>
      </c>
      <c r="F1059" s="21" t="s">
        <v>60</v>
      </c>
      <c r="G1059" s="6" t="s">
        <v>1031</v>
      </c>
      <c r="H1059" s="22">
        <v>1560</v>
      </c>
      <c r="I1059" s="9">
        <v>18</v>
      </c>
      <c r="J1059" s="22">
        <f t="shared" si="10"/>
        <v>28080</v>
      </c>
      <c r="K1059" s="9">
        <f t="array" ref="K1059">QUARTILE(IF($F$3:$F$1460=$F1059,$H$3:$H$1460),1)</f>
        <v>680</v>
      </c>
      <c r="L1059" s="9">
        <f t="array" ref="L1059">QUARTILE(IF($F$3:$F$1460=$F1059,$H$3:$H$1460),2)</f>
        <v>991</v>
      </c>
      <c r="M1059" s="9">
        <f t="array" ref="M1059">QUARTILE(IF($F$3:$F$1460=$F1059,$H$3:$H$1460),3)</f>
        <v>1485.8333333333335</v>
      </c>
    </row>
    <row r="1060" spans="1:13" x14ac:dyDescent="0.25">
      <c r="A1060" s="7">
        <v>1101</v>
      </c>
      <c r="B1060" s="6" t="s">
        <v>1032</v>
      </c>
      <c r="C1060" s="7">
        <v>3851007</v>
      </c>
      <c r="D1060" s="23" t="s">
        <v>1024</v>
      </c>
      <c r="E1060" s="6" t="s">
        <v>1025</v>
      </c>
      <c r="F1060" s="21" t="s">
        <v>60</v>
      </c>
      <c r="G1060" s="6" t="s">
        <v>1033</v>
      </c>
      <c r="H1060" s="22">
        <v>1620</v>
      </c>
      <c r="I1060" s="9">
        <v>37</v>
      </c>
      <c r="J1060" s="22">
        <f t="shared" si="10"/>
        <v>59940</v>
      </c>
      <c r="K1060" s="9">
        <f t="array" ref="K1060">QUARTILE(IF($F$3:$F$1460=$F1060,$H$3:$H$1460),1)</f>
        <v>680</v>
      </c>
      <c r="L1060" s="9">
        <f t="array" ref="L1060">QUARTILE(IF($F$3:$F$1460=$F1060,$H$3:$H$1460),2)</f>
        <v>991</v>
      </c>
      <c r="M1060" s="9">
        <f t="array" ref="M1060">QUARTILE(IF($F$3:$F$1460=$F1060,$H$3:$H$1460),3)</f>
        <v>1485.8333333333335</v>
      </c>
    </row>
    <row r="1061" spans="1:13" x14ac:dyDescent="0.25">
      <c r="A1061" s="7">
        <v>1102</v>
      </c>
      <c r="B1061" s="6" t="s">
        <v>1034</v>
      </c>
      <c r="C1061" s="7">
        <v>3851007</v>
      </c>
      <c r="D1061" s="23" t="s">
        <v>1024</v>
      </c>
      <c r="E1061" s="6" t="s">
        <v>1025</v>
      </c>
      <c r="F1061" s="21" t="s">
        <v>60</v>
      </c>
      <c r="G1061" s="6" t="s">
        <v>1035</v>
      </c>
      <c r="H1061" s="22">
        <v>625</v>
      </c>
      <c r="I1061" s="9">
        <v>2</v>
      </c>
      <c r="J1061" s="22">
        <f t="shared" si="10"/>
        <v>1250</v>
      </c>
      <c r="K1061" s="9">
        <f t="array" ref="K1061">QUARTILE(IF($F$3:$F$1460=$F1061,$H$3:$H$1460),1)</f>
        <v>680</v>
      </c>
      <c r="L1061" s="9">
        <f t="array" ref="L1061">QUARTILE(IF($F$3:$F$1460=$F1061,$H$3:$H$1460),2)</f>
        <v>991</v>
      </c>
      <c r="M1061" s="9">
        <f t="array" ref="M1061">QUARTILE(IF($F$3:$F$1460=$F1061,$H$3:$H$1460),3)</f>
        <v>1485.8333333333335</v>
      </c>
    </row>
    <row r="1062" spans="1:13" x14ac:dyDescent="0.25">
      <c r="A1062" s="7">
        <v>1103</v>
      </c>
      <c r="B1062" s="6" t="s">
        <v>1036</v>
      </c>
      <c r="C1062" s="7">
        <v>3851007</v>
      </c>
      <c r="D1062" s="23" t="s">
        <v>1024</v>
      </c>
      <c r="E1062" s="6" t="s">
        <v>1025</v>
      </c>
      <c r="F1062" s="21" t="s">
        <v>20</v>
      </c>
      <c r="G1062" s="6" t="s">
        <v>1037</v>
      </c>
      <c r="H1062" s="22">
        <v>349</v>
      </c>
      <c r="I1062" s="9">
        <v>51</v>
      </c>
      <c r="J1062" s="22">
        <f t="shared" si="10"/>
        <v>17799</v>
      </c>
      <c r="K1062" s="9">
        <f t="array" ref="K1062">QUARTILE(IF($F$3:$F$1460=$F1062,$H$3:$H$1460),1)</f>
        <v>22.082500000000003</v>
      </c>
      <c r="L1062" s="9">
        <f t="array" ref="L1062">QUARTILE(IF($F$3:$F$1460=$F1062,$H$3:$H$1460),2)</f>
        <v>31.15</v>
      </c>
      <c r="M1062" s="9">
        <f t="array" ref="M1062">QUARTILE(IF($F$3:$F$1460=$F1062,$H$3:$H$1460),3)</f>
        <v>48.125</v>
      </c>
    </row>
    <row r="1063" spans="1:13" x14ac:dyDescent="0.25">
      <c r="A1063" s="7">
        <v>1104</v>
      </c>
      <c r="B1063" s="6" t="s">
        <v>1038</v>
      </c>
      <c r="C1063" s="7">
        <v>3851007</v>
      </c>
      <c r="D1063" s="23" t="s">
        <v>1024</v>
      </c>
      <c r="E1063" s="6" t="s">
        <v>1025</v>
      </c>
      <c r="F1063" s="21" t="s">
        <v>44</v>
      </c>
      <c r="G1063" s="6" t="s">
        <v>1039</v>
      </c>
      <c r="H1063" s="22">
        <v>210</v>
      </c>
      <c r="I1063" s="9">
        <v>109</v>
      </c>
      <c r="J1063" s="22">
        <f t="shared" si="10"/>
        <v>22890</v>
      </c>
      <c r="K1063" s="9">
        <f t="array" ref="K1063">QUARTILE(IF($F$3:$F$1460=$F1063,$H$3:$H$1460),1)</f>
        <v>141.67500000000001</v>
      </c>
      <c r="L1063" s="9">
        <f t="array" ref="L1063">QUARTILE(IF($F$3:$F$1460=$F1063,$H$3:$H$1460),2)</f>
        <v>194</v>
      </c>
      <c r="M1063" s="9">
        <f t="array" ref="M1063">QUARTILE(IF($F$3:$F$1460=$F1063,$H$3:$H$1460),3)</f>
        <v>266.75</v>
      </c>
    </row>
    <row r="1064" spans="1:13" x14ac:dyDescent="0.25">
      <c r="A1064" s="7">
        <v>1105</v>
      </c>
      <c r="B1064" s="6" t="s">
        <v>1040</v>
      </c>
      <c r="C1064" s="7">
        <v>3851007</v>
      </c>
      <c r="D1064" s="23" t="s">
        <v>1024</v>
      </c>
      <c r="E1064" s="6" t="s">
        <v>1025</v>
      </c>
      <c r="F1064" s="21" t="s">
        <v>44</v>
      </c>
      <c r="G1064" s="6" t="s">
        <v>1041</v>
      </c>
      <c r="H1064" s="22">
        <v>360</v>
      </c>
      <c r="I1064" s="9">
        <v>82</v>
      </c>
      <c r="J1064" s="22">
        <f t="shared" si="10"/>
        <v>29520</v>
      </c>
      <c r="K1064" s="9">
        <f t="array" ref="K1064">QUARTILE(IF($F$3:$F$1460=$F1064,$H$3:$H$1460),1)</f>
        <v>141.67500000000001</v>
      </c>
      <c r="L1064" s="9">
        <f t="array" ref="L1064">QUARTILE(IF($F$3:$F$1460=$F1064,$H$3:$H$1460),2)</f>
        <v>194</v>
      </c>
      <c r="M1064" s="9">
        <f t="array" ref="M1064">QUARTILE(IF($F$3:$F$1460=$F1064,$H$3:$H$1460),3)</f>
        <v>266.75</v>
      </c>
    </row>
    <row r="1065" spans="1:13" x14ac:dyDescent="0.25">
      <c r="A1065" s="7">
        <v>1106</v>
      </c>
      <c r="B1065" s="6" t="s">
        <v>1042</v>
      </c>
      <c r="C1065" s="7">
        <v>5095443</v>
      </c>
      <c r="D1065" s="23" t="s">
        <v>1043</v>
      </c>
      <c r="E1065" s="6" t="s">
        <v>1044</v>
      </c>
      <c r="F1065" s="21" t="s">
        <v>46</v>
      </c>
      <c r="G1065" s="6" t="s">
        <v>1045</v>
      </c>
      <c r="H1065" s="22">
        <v>2501</v>
      </c>
      <c r="I1065" s="9">
        <v>46</v>
      </c>
      <c r="J1065" s="22">
        <f t="shared" ref="J1065:J1128" si="11">I1065*H1065</f>
        <v>115046</v>
      </c>
      <c r="K1065" s="9">
        <f t="array" ref="K1065">QUARTILE(IF($F$3:$F$1460=$F1065,$H$3:$H$1460),1)</f>
        <v>229.78</v>
      </c>
      <c r="L1065" s="9">
        <f t="array" ref="L1065">QUARTILE(IF($F$3:$F$1460=$F1065,$H$3:$H$1460),2)</f>
        <v>424.2</v>
      </c>
      <c r="M1065" s="9">
        <f t="array" ref="M1065">QUARTILE(IF($F$3:$F$1460=$F1065,$H$3:$H$1460),3)</f>
        <v>1030.3</v>
      </c>
    </row>
    <row r="1066" spans="1:13" x14ac:dyDescent="0.25">
      <c r="A1066" s="7">
        <v>1107</v>
      </c>
      <c r="B1066" s="6" t="s">
        <v>1046</v>
      </c>
      <c r="C1066" s="7">
        <v>4241268</v>
      </c>
      <c r="D1066" s="23" t="s">
        <v>1047</v>
      </c>
      <c r="E1066" s="6" t="s">
        <v>1048</v>
      </c>
      <c r="F1066" s="21" t="s">
        <v>62</v>
      </c>
      <c r="G1066" s="6" t="s">
        <v>1049</v>
      </c>
      <c r="H1066" s="22">
        <v>1263</v>
      </c>
      <c r="I1066" s="9">
        <v>50</v>
      </c>
      <c r="J1066" s="22">
        <f t="shared" si="11"/>
        <v>63150</v>
      </c>
      <c r="K1066" s="9">
        <f t="array" ref="K1066">QUARTILE(IF($F$3:$F$1460=$F1066,$H$3:$H$1460),1)</f>
        <v>783.15</v>
      </c>
      <c r="L1066" s="9">
        <f t="array" ref="L1066">QUARTILE(IF($F$3:$F$1460=$F1066,$H$3:$H$1460),2)</f>
        <v>1196.3</v>
      </c>
      <c r="M1066" s="9">
        <f t="array" ref="M1066">QUARTILE(IF($F$3:$F$1460=$F1066,$H$3:$H$1460),3)</f>
        <v>1455.5</v>
      </c>
    </row>
    <row r="1067" spans="1:13" x14ac:dyDescent="0.25">
      <c r="A1067" s="7">
        <v>1108</v>
      </c>
      <c r="B1067" s="6" t="s">
        <v>1046</v>
      </c>
      <c r="C1067" s="7">
        <v>4241268</v>
      </c>
      <c r="D1067" s="23" t="s">
        <v>1047</v>
      </c>
      <c r="E1067" s="6" t="s">
        <v>1048</v>
      </c>
      <c r="F1067" s="21" t="s">
        <v>44</v>
      </c>
      <c r="G1067" s="6" t="s">
        <v>1050</v>
      </c>
      <c r="H1067" s="22">
        <v>561</v>
      </c>
      <c r="I1067" s="9">
        <v>50</v>
      </c>
      <c r="J1067" s="22">
        <f t="shared" si="11"/>
        <v>28050</v>
      </c>
      <c r="K1067" s="9">
        <f t="array" ref="K1067">QUARTILE(IF($F$3:$F$1460=$F1067,$H$3:$H$1460),1)</f>
        <v>141.67500000000001</v>
      </c>
      <c r="L1067" s="9">
        <f t="array" ref="L1067">QUARTILE(IF($F$3:$F$1460=$F1067,$H$3:$H$1460),2)</f>
        <v>194</v>
      </c>
      <c r="M1067" s="9">
        <f t="array" ref="M1067">QUARTILE(IF($F$3:$F$1460=$F1067,$H$3:$H$1460),3)</f>
        <v>266.75</v>
      </c>
    </row>
    <row r="1068" spans="1:13" x14ac:dyDescent="0.25">
      <c r="A1068" s="7">
        <v>1109</v>
      </c>
      <c r="B1068" s="6" t="s">
        <v>1046</v>
      </c>
      <c r="C1068" s="7">
        <v>4241268</v>
      </c>
      <c r="D1068" s="23" t="s">
        <v>1047</v>
      </c>
      <c r="E1068" s="6" t="s">
        <v>1048</v>
      </c>
      <c r="F1068" s="21" t="s">
        <v>50</v>
      </c>
      <c r="G1068" s="6" t="s">
        <v>1051</v>
      </c>
      <c r="H1068" s="22">
        <v>2208.33</v>
      </c>
      <c r="I1068" s="9">
        <v>5</v>
      </c>
      <c r="J1068" s="22">
        <f t="shared" si="11"/>
        <v>11041.65</v>
      </c>
      <c r="K1068" s="9">
        <f t="array" ref="K1068">QUARTILE(IF($F$3:$F$1460=$F1068,$H$3:$H$1460),1)</f>
        <v>307.64999999999998</v>
      </c>
      <c r="L1068" s="9">
        <f t="array" ref="L1068">QUARTILE(IF($F$3:$F$1460=$F1068,$H$3:$H$1460),2)</f>
        <v>533.63</v>
      </c>
      <c r="M1068" s="9">
        <f t="array" ref="M1068">QUARTILE(IF($F$3:$F$1460=$F1068,$H$3:$H$1460),3)</f>
        <v>761.32</v>
      </c>
    </row>
    <row r="1069" spans="1:13" x14ac:dyDescent="0.25">
      <c r="A1069" s="7">
        <v>1110</v>
      </c>
      <c r="B1069" s="6" t="s">
        <v>1046</v>
      </c>
      <c r="C1069" s="7">
        <v>4241268</v>
      </c>
      <c r="D1069" s="23" t="s">
        <v>1047</v>
      </c>
      <c r="E1069" s="6" t="s">
        <v>1048</v>
      </c>
      <c r="F1069" s="21" t="s">
        <v>60</v>
      </c>
      <c r="G1069" s="6" t="s">
        <v>1052</v>
      </c>
      <c r="H1069" s="22">
        <v>1615.5</v>
      </c>
      <c r="I1069" s="9">
        <v>50</v>
      </c>
      <c r="J1069" s="22">
        <f t="shared" si="11"/>
        <v>80775</v>
      </c>
      <c r="K1069" s="9">
        <f t="array" ref="K1069">QUARTILE(IF($F$3:$F$1460=$F1069,$H$3:$H$1460),1)</f>
        <v>680</v>
      </c>
      <c r="L1069" s="9">
        <f t="array" ref="L1069">QUARTILE(IF($F$3:$F$1460=$F1069,$H$3:$H$1460),2)</f>
        <v>991</v>
      </c>
      <c r="M1069" s="9">
        <f t="array" ref="M1069">QUARTILE(IF($F$3:$F$1460=$F1069,$H$3:$H$1460),3)</f>
        <v>1485.8333333333335</v>
      </c>
    </row>
    <row r="1070" spans="1:13" x14ac:dyDescent="0.25">
      <c r="A1070" s="7">
        <v>1111</v>
      </c>
      <c r="B1070" s="6" t="s">
        <v>1046</v>
      </c>
      <c r="C1070" s="7">
        <v>4241268</v>
      </c>
      <c r="D1070" s="23" t="s">
        <v>1047</v>
      </c>
      <c r="E1070" s="6" t="s">
        <v>1048</v>
      </c>
      <c r="F1070" s="21" t="s">
        <v>46</v>
      </c>
      <c r="G1070" s="6" t="s">
        <v>1053</v>
      </c>
      <c r="H1070" s="22">
        <v>222.5</v>
      </c>
      <c r="I1070" s="9">
        <v>30</v>
      </c>
      <c r="J1070" s="22">
        <f t="shared" si="11"/>
        <v>6675</v>
      </c>
      <c r="K1070" s="9">
        <f t="array" ref="K1070">QUARTILE(IF($F$3:$F$1460=$F1070,$H$3:$H$1460),1)</f>
        <v>229.78</v>
      </c>
      <c r="L1070" s="9">
        <f t="array" ref="L1070">QUARTILE(IF($F$3:$F$1460=$F1070,$H$3:$H$1460),2)</f>
        <v>424.2</v>
      </c>
      <c r="M1070" s="9">
        <f t="array" ref="M1070">QUARTILE(IF($F$3:$F$1460=$F1070,$H$3:$H$1460),3)</f>
        <v>1030.3</v>
      </c>
    </row>
    <row r="1071" spans="1:13" x14ac:dyDescent="0.25">
      <c r="A1071" s="7">
        <v>1112</v>
      </c>
      <c r="B1071" s="6" t="s">
        <v>1046</v>
      </c>
      <c r="C1071" s="7">
        <v>4241268</v>
      </c>
      <c r="D1071" s="23" t="s">
        <v>1047</v>
      </c>
      <c r="E1071" s="6" t="s">
        <v>1048</v>
      </c>
      <c r="F1071" s="21" t="s">
        <v>46</v>
      </c>
      <c r="G1071" s="6" t="s">
        <v>1054</v>
      </c>
      <c r="H1071" s="22">
        <v>4405</v>
      </c>
      <c r="I1071" s="9">
        <v>45</v>
      </c>
      <c r="J1071" s="22">
        <f t="shared" si="11"/>
        <v>198225</v>
      </c>
      <c r="K1071" s="9">
        <f t="array" ref="K1071">QUARTILE(IF($F$3:$F$1460=$F1071,$H$3:$H$1460),1)</f>
        <v>229.78</v>
      </c>
      <c r="L1071" s="9">
        <f t="array" ref="L1071">QUARTILE(IF($F$3:$F$1460=$F1071,$H$3:$H$1460),2)</f>
        <v>424.2</v>
      </c>
      <c r="M1071" s="9">
        <f t="array" ref="M1071">QUARTILE(IF($F$3:$F$1460=$F1071,$H$3:$H$1460),3)</f>
        <v>1030.3</v>
      </c>
    </row>
    <row r="1072" spans="1:13" x14ac:dyDescent="0.25">
      <c r="A1072" s="7">
        <v>1113</v>
      </c>
      <c r="B1072" s="6" t="s">
        <v>1055</v>
      </c>
      <c r="C1072" s="7">
        <v>5254584</v>
      </c>
      <c r="D1072" s="23" t="s">
        <v>1056</v>
      </c>
      <c r="E1072" s="6" t="s">
        <v>1057</v>
      </c>
      <c r="F1072" s="21" t="s">
        <v>11</v>
      </c>
      <c r="G1072" s="6" t="s">
        <v>1058</v>
      </c>
      <c r="H1072" s="22">
        <v>14.28</v>
      </c>
      <c r="I1072" s="9">
        <v>92</v>
      </c>
      <c r="J1072" s="22">
        <f t="shared" si="11"/>
        <v>1313.76</v>
      </c>
      <c r="K1072" s="9">
        <f t="array" ref="K1072">QUARTILE(IF($F$3:$F$1460=$F1072,$H$3:$H$1460),1)</f>
        <v>9.8249999999999993</v>
      </c>
      <c r="L1072" s="9">
        <f t="array" ref="L1072">QUARTILE(IF($F$3:$F$1460=$F1072,$H$3:$H$1460),2)</f>
        <v>21.14</v>
      </c>
      <c r="M1072" s="9">
        <f t="array" ref="M1072">QUARTILE(IF($F$3:$F$1460=$F1072,$H$3:$H$1460),3)</f>
        <v>248.75</v>
      </c>
    </row>
    <row r="1073" spans="1:13" x14ac:dyDescent="0.25">
      <c r="A1073" s="7">
        <v>1114</v>
      </c>
      <c r="B1073" s="6" t="s">
        <v>1055</v>
      </c>
      <c r="C1073" s="7">
        <v>5254584</v>
      </c>
      <c r="D1073" s="23" t="s">
        <v>1056</v>
      </c>
      <c r="E1073" s="6" t="s">
        <v>1057</v>
      </c>
      <c r="F1073" s="21" t="s">
        <v>37</v>
      </c>
      <c r="G1073" s="6" t="s">
        <v>1059</v>
      </c>
      <c r="H1073" s="22">
        <v>99.97</v>
      </c>
      <c r="I1073" s="9">
        <v>12</v>
      </c>
      <c r="J1073" s="22">
        <f t="shared" si="11"/>
        <v>1199.6399999999999</v>
      </c>
      <c r="K1073" s="9">
        <f t="array" ref="K1073">QUARTILE(IF($F$3:$F$1460=$F1073,$H$3:$H$1460),1)</f>
        <v>89.477499999999992</v>
      </c>
      <c r="L1073" s="9">
        <f t="array" ref="L1073">QUARTILE(IF($F$3:$F$1460=$F1073,$H$3:$H$1460),2)</f>
        <v>121</v>
      </c>
      <c r="M1073" s="9">
        <f t="array" ref="M1073">QUARTILE(IF($F$3:$F$1460=$F1073,$H$3:$H$1460),3)</f>
        <v>139.9025</v>
      </c>
    </row>
    <row r="1074" spans="1:13" x14ac:dyDescent="0.25">
      <c r="A1074" s="7">
        <v>1115</v>
      </c>
      <c r="B1074" s="6" t="s">
        <v>1055</v>
      </c>
      <c r="C1074" s="7">
        <v>5254584</v>
      </c>
      <c r="D1074" s="23" t="s">
        <v>1056</v>
      </c>
      <c r="E1074" s="6" t="s">
        <v>1057</v>
      </c>
      <c r="F1074" s="21" t="s">
        <v>37</v>
      </c>
      <c r="G1074" s="6" t="s">
        <v>1060</v>
      </c>
      <c r="H1074" s="22">
        <v>106.24</v>
      </c>
      <c r="I1074" s="9">
        <v>7</v>
      </c>
      <c r="J1074" s="22">
        <f t="shared" si="11"/>
        <v>743.68</v>
      </c>
      <c r="K1074" s="9">
        <f t="array" ref="K1074">QUARTILE(IF($F$3:$F$1460=$F1074,$H$3:$H$1460),1)</f>
        <v>89.477499999999992</v>
      </c>
      <c r="L1074" s="9">
        <f t="array" ref="L1074">QUARTILE(IF($F$3:$F$1460=$F1074,$H$3:$H$1460),2)</f>
        <v>121</v>
      </c>
      <c r="M1074" s="9">
        <f t="array" ref="M1074">QUARTILE(IF($F$3:$F$1460=$F1074,$H$3:$H$1460),3)</f>
        <v>139.9025</v>
      </c>
    </row>
    <row r="1075" spans="1:13" x14ac:dyDescent="0.25">
      <c r="A1075" s="7">
        <v>1116</v>
      </c>
      <c r="B1075" s="6" t="s">
        <v>1055</v>
      </c>
      <c r="C1075" s="7">
        <v>5254584</v>
      </c>
      <c r="D1075" s="23" t="s">
        <v>1056</v>
      </c>
      <c r="E1075" s="6" t="s">
        <v>1057</v>
      </c>
      <c r="F1075" s="21" t="s">
        <v>28</v>
      </c>
      <c r="G1075" s="6" t="s">
        <v>1061</v>
      </c>
      <c r="H1075" s="22">
        <v>43.3</v>
      </c>
      <c r="I1075" s="9">
        <v>2</v>
      </c>
      <c r="J1075" s="22">
        <f t="shared" si="11"/>
        <v>86.6</v>
      </c>
      <c r="K1075" s="9">
        <f t="array" ref="K1075">QUARTILE(IF($F$3:$F$1460=$F1075,$H$3:$H$1460),1)</f>
        <v>40.5</v>
      </c>
      <c r="L1075" s="9">
        <f t="array" ref="L1075">QUARTILE(IF($F$3:$F$1460=$F1075,$H$3:$H$1460),2)</f>
        <v>43.39</v>
      </c>
      <c r="M1075" s="9">
        <f t="array" ref="M1075">QUARTILE(IF($F$3:$F$1460=$F1075,$H$3:$H$1460),3)</f>
        <v>69.25</v>
      </c>
    </row>
    <row r="1076" spans="1:13" x14ac:dyDescent="0.25">
      <c r="A1076" s="7">
        <v>1117</v>
      </c>
      <c r="B1076" s="6" t="s">
        <v>1055</v>
      </c>
      <c r="C1076" s="7">
        <v>5254584</v>
      </c>
      <c r="D1076" s="23" t="s">
        <v>1056</v>
      </c>
      <c r="E1076" s="6" t="s">
        <v>1057</v>
      </c>
      <c r="F1076" s="21" t="s">
        <v>32</v>
      </c>
      <c r="G1076" s="45" t="s">
        <v>1062</v>
      </c>
      <c r="H1076" s="22">
        <v>50.12</v>
      </c>
      <c r="I1076" s="9">
        <v>27</v>
      </c>
      <c r="J1076" s="22">
        <f t="shared" si="11"/>
        <v>1353.24</v>
      </c>
      <c r="K1076" s="9">
        <f t="array" ref="K1076">QUARTILE(IF($F$3:$F$1460=$F1076,$H$3:$H$1460),1)</f>
        <v>59.227499999999999</v>
      </c>
      <c r="L1076" s="9">
        <f t="array" ref="L1076">QUARTILE(IF($F$3:$F$1460=$F1076,$H$3:$H$1460),2)</f>
        <v>332.14</v>
      </c>
      <c r="M1076" s="9">
        <f t="array" ref="M1076">QUARTILE(IF($F$3:$F$1460=$F1076,$H$3:$H$1460),3)</f>
        <v>1331.8050000000001</v>
      </c>
    </row>
    <row r="1077" spans="1:13" x14ac:dyDescent="0.25">
      <c r="A1077" s="7">
        <v>1118</v>
      </c>
      <c r="B1077" s="6" t="s">
        <v>1055</v>
      </c>
      <c r="C1077" s="7">
        <v>5254584</v>
      </c>
      <c r="D1077" s="23" t="s">
        <v>1056</v>
      </c>
      <c r="E1077" s="6" t="s">
        <v>1057</v>
      </c>
      <c r="F1077" s="21" t="s">
        <v>32</v>
      </c>
      <c r="G1077" s="45" t="s">
        <v>1062</v>
      </c>
      <c r="H1077" s="22">
        <v>73.260000000000005</v>
      </c>
      <c r="I1077" s="9">
        <v>3</v>
      </c>
      <c r="J1077" s="22">
        <f t="shared" si="11"/>
        <v>219.78000000000003</v>
      </c>
      <c r="K1077" s="9">
        <f t="array" ref="K1077">QUARTILE(IF($F$3:$F$1460=$F1077,$H$3:$H$1460),1)</f>
        <v>59.227499999999999</v>
      </c>
      <c r="L1077" s="9">
        <f t="array" ref="L1077">QUARTILE(IF($F$3:$F$1460=$F1077,$H$3:$H$1460),2)</f>
        <v>332.14</v>
      </c>
      <c r="M1077" s="9">
        <f t="array" ref="M1077">QUARTILE(IF($F$3:$F$1460=$F1077,$H$3:$H$1460),3)</f>
        <v>1331.8050000000001</v>
      </c>
    </row>
    <row r="1078" spans="1:13" x14ac:dyDescent="0.25">
      <c r="A1078" s="7">
        <v>1119</v>
      </c>
      <c r="B1078" s="6" t="s">
        <v>1055</v>
      </c>
      <c r="C1078" s="7">
        <v>5254584</v>
      </c>
      <c r="D1078" s="23" t="s">
        <v>1056</v>
      </c>
      <c r="E1078" s="6" t="s">
        <v>1057</v>
      </c>
      <c r="F1078" s="21" t="s">
        <v>32</v>
      </c>
      <c r="G1078" s="45" t="s">
        <v>1063</v>
      </c>
      <c r="H1078" s="22">
        <v>109.92</v>
      </c>
      <c r="I1078" s="9">
        <v>20</v>
      </c>
      <c r="J1078" s="22">
        <f t="shared" si="11"/>
        <v>2198.4</v>
      </c>
      <c r="K1078" s="9">
        <f t="array" ref="K1078">QUARTILE(IF($F$3:$F$1460=$F1078,$H$3:$H$1460),1)</f>
        <v>59.227499999999999</v>
      </c>
      <c r="L1078" s="9">
        <f t="array" ref="L1078">QUARTILE(IF($F$3:$F$1460=$F1078,$H$3:$H$1460),2)</f>
        <v>332.14</v>
      </c>
      <c r="M1078" s="9">
        <f t="array" ref="M1078">QUARTILE(IF($F$3:$F$1460=$F1078,$H$3:$H$1460),3)</f>
        <v>1331.8050000000001</v>
      </c>
    </row>
    <row r="1079" spans="1:13" x14ac:dyDescent="0.25">
      <c r="A1079" s="7">
        <v>1120</v>
      </c>
      <c r="B1079" s="6" t="s">
        <v>1055</v>
      </c>
      <c r="C1079" s="7">
        <v>5254584</v>
      </c>
      <c r="D1079" s="23" t="s">
        <v>1056</v>
      </c>
      <c r="E1079" s="6" t="s">
        <v>1057</v>
      </c>
      <c r="F1079" s="21" t="s">
        <v>6</v>
      </c>
      <c r="G1079" s="6" t="s">
        <v>1064</v>
      </c>
      <c r="H1079" s="22">
        <v>2.73</v>
      </c>
      <c r="I1079" s="9">
        <v>60</v>
      </c>
      <c r="J1079" s="22">
        <f t="shared" si="11"/>
        <v>163.80000000000001</v>
      </c>
      <c r="K1079" s="9">
        <f t="array" ref="K1079">QUARTILE(IF($F$3:$F$1460=$F1079,$H$3:$H$1460),1)</f>
        <v>4.25</v>
      </c>
      <c r="L1079" s="9">
        <f t="array" ref="L1079">QUARTILE(IF($F$3:$F$1460=$F1079,$H$3:$H$1460),2)</f>
        <v>6.12</v>
      </c>
      <c r="M1079" s="9">
        <f t="array" ref="M1079">QUARTILE(IF($F$3:$F$1460=$F1079,$H$3:$H$1460),3)</f>
        <v>13.55</v>
      </c>
    </row>
    <row r="1080" spans="1:13" x14ac:dyDescent="0.25">
      <c r="A1080" s="7">
        <v>1121</v>
      </c>
      <c r="B1080" s="6" t="s">
        <v>1055</v>
      </c>
      <c r="C1080" s="7">
        <v>5254584</v>
      </c>
      <c r="D1080" s="23" t="s">
        <v>1056</v>
      </c>
      <c r="E1080" s="6" t="s">
        <v>1057</v>
      </c>
      <c r="F1080" s="21" t="s">
        <v>6</v>
      </c>
      <c r="G1080" s="6" t="s">
        <v>1065</v>
      </c>
      <c r="H1080" s="22">
        <v>6.12</v>
      </c>
      <c r="I1080" s="9">
        <v>160</v>
      </c>
      <c r="J1080" s="22">
        <f t="shared" si="11"/>
        <v>979.2</v>
      </c>
      <c r="K1080" s="9">
        <f t="array" ref="K1080">QUARTILE(IF($F$3:$F$1460=$F1080,$H$3:$H$1460),1)</f>
        <v>4.25</v>
      </c>
      <c r="L1080" s="9">
        <f t="array" ref="L1080">QUARTILE(IF($F$3:$F$1460=$F1080,$H$3:$H$1460),2)</f>
        <v>6.12</v>
      </c>
      <c r="M1080" s="9">
        <f t="array" ref="M1080">QUARTILE(IF($F$3:$F$1460=$F1080,$H$3:$H$1460),3)</f>
        <v>13.55</v>
      </c>
    </row>
    <row r="1081" spans="1:13" x14ac:dyDescent="0.25">
      <c r="A1081" s="7">
        <v>1122</v>
      </c>
      <c r="B1081" s="6" t="s">
        <v>1055</v>
      </c>
      <c r="C1081" s="7">
        <v>5254584</v>
      </c>
      <c r="D1081" s="23" t="s">
        <v>1056</v>
      </c>
      <c r="E1081" s="6" t="s">
        <v>1057</v>
      </c>
      <c r="F1081" s="21" t="s">
        <v>6</v>
      </c>
      <c r="G1081" s="6" t="s">
        <v>1066</v>
      </c>
      <c r="H1081" s="22">
        <v>3.76</v>
      </c>
      <c r="I1081" s="9">
        <v>689</v>
      </c>
      <c r="J1081" s="22">
        <f t="shared" si="11"/>
        <v>2590.64</v>
      </c>
      <c r="K1081" s="9">
        <f t="array" ref="K1081">QUARTILE(IF($F$3:$F$1460=$F1081,$H$3:$H$1460),1)</f>
        <v>4.25</v>
      </c>
      <c r="L1081" s="9">
        <f t="array" ref="L1081">QUARTILE(IF($F$3:$F$1460=$F1081,$H$3:$H$1460),2)</f>
        <v>6.12</v>
      </c>
      <c r="M1081" s="9">
        <f t="array" ref="M1081">QUARTILE(IF($F$3:$F$1460=$F1081,$H$3:$H$1460),3)</f>
        <v>13.55</v>
      </c>
    </row>
    <row r="1082" spans="1:13" x14ac:dyDescent="0.25">
      <c r="A1082" s="7">
        <v>1123</v>
      </c>
      <c r="B1082" s="6" t="s">
        <v>1055</v>
      </c>
      <c r="C1082" s="7">
        <v>5254584</v>
      </c>
      <c r="D1082" s="23" t="s">
        <v>1056</v>
      </c>
      <c r="E1082" s="6" t="s">
        <v>1057</v>
      </c>
      <c r="F1082" s="21" t="s">
        <v>10</v>
      </c>
      <c r="G1082" s="6" t="s">
        <v>1067</v>
      </c>
      <c r="H1082" s="22">
        <v>10.49</v>
      </c>
      <c r="I1082" s="9">
        <v>79</v>
      </c>
      <c r="J1082" s="22">
        <f t="shared" si="11"/>
        <v>828.71</v>
      </c>
      <c r="K1082" s="9">
        <f t="array" ref="K1082">QUARTILE(IF($F$3:$F$1460=$F1082,$H$3:$H$1460),1)</f>
        <v>7.9050000000000002</v>
      </c>
      <c r="L1082" s="9">
        <f t="array" ref="L1082">QUARTILE(IF($F$3:$F$1460=$F1082,$H$3:$H$1460),2)</f>
        <v>13</v>
      </c>
      <c r="M1082" s="9">
        <f t="array" ref="M1082">QUARTILE(IF($F$3:$F$1460=$F1082,$H$3:$H$1460),3)</f>
        <v>16.75</v>
      </c>
    </row>
    <row r="1083" spans="1:13" x14ac:dyDescent="0.25">
      <c r="A1083" s="7">
        <v>1124</v>
      </c>
      <c r="B1083" s="6" t="s">
        <v>1055</v>
      </c>
      <c r="C1083" s="7">
        <v>5254584</v>
      </c>
      <c r="D1083" s="23" t="s">
        <v>1056</v>
      </c>
      <c r="E1083" s="6" t="s">
        <v>1057</v>
      </c>
      <c r="F1083" s="21" t="s">
        <v>31</v>
      </c>
      <c r="G1083" s="6" t="s">
        <v>1068</v>
      </c>
      <c r="H1083" s="22">
        <v>148.36000000000001</v>
      </c>
      <c r="I1083" s="9">
        <v>43</v>
      </c>
      <c r="J1083" s="22">
        <f t="shared" si="11"/>
        <v>6379.4800000000005</v>
      </c>
      <c r="K1083" s="9">
        <f t="array" ref="K1083">QUARTILE(IF($F$3:$F$1460=$F1083,$H$3:$H$1460),1)</f>
        <v>55.5</v>
      </c>
      <c r="L1083" s="9">
        <f t="array" ref="L1083">QUARTILE(IF($F$3:$F$1460=$F1083,$H$3:$H$1460),2)</f>
        <v>91.88</v>
      </c>
      <c r="M1083" s="9">
        <f t="array" ref="M1083">QUARTILE(IF($F$3:$F$1460=$F1083,$H$3:$H$1460),3)</f>
        <v>148.36000000000001</v>
      </c>
    </row>
    <row r="1084" spans="1:13" x14ac:dyDescent="0.25">
      <c r="A1084" s="7">
        <v>1125</v>
      </c>
      <c r="B1084" s="6" t="s">
        <v>1055</v>
      </c>
      <c r="C1084" s="7">
        <v>5254584</v>
      </c>
      <c r="D1084" s="23" t="s">
        <v>1056</v>
      </c>
      <c r="E1084" s="6" t="s">
        <v>1057</v>
      </c>
      <c r="F1084" s="21" t="s">
        <v>31</v>
      </c>
      <c r="G1084" s="6" t="s">
        <v>1069</v>
      </c>
      <c r="H1084" s="22">
        <v>146.54</v>
      </c>
      <c r="I1084" s="9">
        <v>5</v>
      </c>
      <c r="J1084" s="22">
        <f t="shared" si="11"/>
        <v>732.69999999999993</v>
      </c>
      <c r="K1084" s="9">
        <f t="array" ref="K1084">QUARTILE(IF($F$3:$F$1460=$F1084,$H$3:$H$1460),1)</f>
        <v>55.5</v>
      </c>
      <c r="L1084" s="9">
        <f t="array" ref="L1084">QUARTILE(IF($F$3:$F$1460=$F1084,$H$3:$H$1460),2)</f>
        <v>91.88</v>
      </c>
      <c r="M1084" s="9">
        <f t="array" ref="M1084">QUARTILE(IF($F$3:$F$1460=$F1084,$H$3:$H$1460),3)</f>
        <v>148.36000000000001</v>
      </c>
    </row>
    <row r="1085" spans="1:13" x14ac:dyDescent="0.25">
      <c r="A1085" s="7">
        <v>1126</v>
      </c>
      <c r="B1085" s="6" t="s">
        <v>1055</v>
      </c>
      <c r="C1085" s="7">
        <v>5254584</v>
      </c>
      <c r="D1085" s="23" t="s">
        <v>1056</v>
      </c>
      <c r="E1085" s="6" t="s">
        <v>1057</v>
      </c>
      <c r="F1085" s="21" t="s">
        <v>31</v>
      </c>
      <c r="G1085" s="6" t="s">
        <v>1070</v>
      </c>
      <c r="H1085" s="22">
        <v>114.67</v>
      </c>
      <c r="I1085" s="9">
        <v>2</v>
      </c>
      <c r="J1085" s="22">
        <f t="shared" si="11"/>
        <v>229.34</v>
      </c>
      <c r="K1085" s="9">
        <f t="array" ref="K1085">QUARTILE(IF($F$3:$F$1460=$F1085,$H$3:$H$1460),1)</f>
        <v>55.5</v>
      </c>
      <c r="L1085" s="9">
        <f t="array" ref="L1085">QUARTILE(IF($F$3:$F$1460=$F1085,$H$3:$H$1460),2)</f>
        <v>91.88</v>
      </c>
      <c r="M1085" s="9">
        <f t="array" ref="M1085">QUARTILE(IF($F$3:$F$1460=$F1085,$H$3:$H$1460),3)</f>
        <v>148.36000000000001</v>
      </c>
    </row>
    <row r="1086" spans="1:13" x14ac:dyDescent="0.25">
      <c r="A1086" s="7">
        <v>1127</v>
      </c>
      <c r="B1086" s="6" t="s">
        <v>1055</v>
      </c>
      <c r="C1086" s="7">
        <v>5254584</v>
      </c>
      <c r="D1086" s="23" t="s">
        <v>1056</v>
      </c>
      <c r="E1086" s="6" t="s">
        <v>1057</v>
      </c>
      <c r="F1086" s="21" t="s">
        <v>31</v>
      </c>
      <c r="G1086" s="6" t="s">
        <v>1071</v>
      </c>
      <c r="H1086" s="22">
        <v>83.48</v>
      </c>
      <c r="I1086" s="9">
        <v>10</v>
      </c>
      <c r="J1086" s="22">
        <f t="shared" si="11"/>
        <v>834.80000000000007</v>
      </c>
      <c r="K1086" s="9">
        <f t="array" ref="K1086">QUARTILE(IF($F$3:$F$1460=$F1086,$H$3:$H$1460),1)</f>
        <v>55.5</v>
      </c>
      <c r="L1086" s="9">
        <f t="array" ref="L1086">QUARTILE(IF($F$3:$F$1460=$F1086,$H$3:$H$1460),2)</f>
        <v>91.88</v>
      </c>
      <c r="M1086" s="9">
        <f t="array" ref="M1086">QUARTILE(IF($F$3:$F$1460=$F1086,$H$3:$H$1460),3)</f>
        <v>148.36000000000001</v>
      </c>
    </row>
    <row r="1087" spans="1:13" x14ac:dyDescent="0.25">
      <c r="A1087" s="7">
        <v>1128</v>
      </c>
      <c r="B1087" s="6" t="s">
        <v>1055</v>
      </c>
      <c r="C1087" s="7">
        <v>5254584</v>
      </c>
      <c r="D1087" s="23" t="s">
        <v>1056</v>
      </c>
      <c r="E1087" s="6" t="s">
        <v>1057</v>
      </c>
      <c r="F1087" s="21" t="s">
        <v>31</v>
      </c>
      <c r="G1087" s="6" t="s">
        <v>1072</v>
      </c>
      <c r="H1087" s="22">
        <v>440.17</v>
      </c>
      <c r="I1087" s="9">
        <v>7</v>
      </c>
      <c r="J1087" s="22">
        <f t="shared" si="11"/>
        <v>3081.19</v>
      </c>
      <c r="K1087" s="9">
        <f t="array" ref="K1087">QUARTILE(IF($F$3:$F$1460=$F1087,$H$3:$H$1460),1)</f>
        <v>55.5</v>
      </c>
      <c r="L1087" s="9">
        <f t="array" ref="L1087">QUARTILE(IF($F$3:$F$1460=$F1087,$H$3:$H$1460),2)</f>
        <v>91.88</v>
      </c>
      <c r="M1087" s="9">
        <f t="array" ref="M1087">QUARTILE(IF($F$3:$F$1460=$F1087,$H$3:$H$1460),3)</f>
        <v>148.36000000000001</v>
      </c>
    </row>
    <row r="1088" spans="1:13" x14ac:dyDescent="0.25">
      <c r="A1088" s="7">
        <v>1129</v>
      </c>
      <c r="B1088" s="6" t="s">
        <v>1055</v>
      </c>
      <c r="C1088" s="7">
        <v>5254584</v>
      </c>
      <c r="D1088" s="23" t="s">
        <v>1056</v>
      </c>
      <c r="E1088" s="6" t="s">
        <v>1057</v>
      </c>
      <c r="F1088" s="21" t="s">
        <v>20</v>
      </c>
      <c r="G1088" s="6" t="s">
        <v>1073</v>
      </c>
      <c r="H1088" s="22">
        <v>24.71</v>
      </c>
      <c r="I1088" s="9">
        <v>10</v>
      </c>
      <c r="J1088" s="22">
        <f t="shared" si="11"/>
        <v>247.10000000000002</v>
      </c>
      <c r="K1088" s="9">
        <f t="array" ref="K1088">QUARTILE(IF($F$3:$F$1460=$F1088,$H$3:$H$1460),1)</f>
        <v>22.082500000000003</v>
      </c>
      <c r="L1088" s="9">
        <f t="array" ref="L1088">QUARTILE(IF($F$3:$F$1460=$F1088,$H$3:$H$1460),2)</f>
        <v>31.15</v>
      </c>
      <c r="M1088" s="9">
        <f t="array" ref="M1088">QUARTILE(IF($F$3:$F$1460=$F1088,$H$3:$H$1460),3)</f>
        <v>48.125</v>
      </c>
    </row>
    <row r="1089" spans="1:13" x14ac:dyDescent="0.25">
      <c r="A1089" s="7">
        <v>1130</v>
      </c>
      <c r="B1089" s="6" t="s">
        <v>1055</v>
      </c>
      <c r="C1089" s="7">
        <v>5254584</v>
      </c>
      <c r="D1089" s="23" t="s">
        <v>1056</v>
      </c>
      <c r="E1089" s="6" t="s">
        <v>1057</v>
      </c>
      <c r="F1089" s="21" t="s">
        <v>20</v>
      </c>
      <c r="G1089" s="6" t="s">
        <v>1074</v>
      </c>
      <c r="H1089" s="22">
        <v>43.48</v>
      </c>
      <c r="I1089" s="9">
        <v>10</v>
      </c>
      <c r="J1089" s="22">
        <f t="shared" si="11"/>
        <v>434.79999999999995</v>
      </c>
      <c r="K1089" s="9">
        <f t="array" ref="K1089">QUARTILE(IF($F$3:$F$1460=$F1089,$H$3:$H$1460),1)</f>
        <v>22.082500000000003</v>
      </c>
      <c r="L1089" s="9">
        <f t="array" ref="L1089">QUARTILE(IF($F$3:$F$1460=$F1089,$H$3:$H$1460),2)</f>
        <v>31.15</v>
      </c>
      <c r="M1089" s="9">
        <f t="array" ref="M1089">QUARTILE(IF($F$3:$F$1460=$F1089,$H$3:$H$1460),3)</f>
        <v>48.125</v>
      </c>
    </row>
    <row r="1090" spans="1:13" x14ac:dyDescent="0.25">
      <c r="A1090" s="7">
        <v>1131</v>
      </c>
      <c r="B1090" s="6" t="s">
        <v>1055</v>
      </c>
      <c r="C1090" s="7">
        <v>5254584</v>
      </c>
      <c r="D1090" s="23" t="s">
        <v>1056</v>
      </c>
      <c r="E1090" s="6" t="s">
        <v>1057</v>
      </c>
      <c r="F1090" s="21" t="s">
        <v>20</v>
      </c>
      <c r="G1090" s="6" t="s">
        <v>1075</v>
      </c>
      <c r="H1090" s="22">
        <v>33.340000000000003</v>
      </c>
      <c r="I1090" s="9">
        <v>10</v>
      </c>
      <c r="J1090" s="22">
        <f t="shared" si="11"/>
        <v>333.40000000000003</v>
      </c>
      <c r="K1090" s="9">
        <f t="array" ref="K1090">QUARTILE(IF($F$3:$F$1460=$F1090,$H$3:$H$1460),1)</f>
        <v>22.082500000000003</v>
      </c>
      <c r="L1090" s="9">
        <f t="array" ref="L1090">QUARTILE(IF($F$3:$F$1460=$F1090,$H$3:$H$1460),2)</f>
        <v>31.15</v>
      </c>
      <c r="M1090" s="9">
        <f t="array" ref="M1090">QUARTILE(IF($F$3:$F$1460=$F1090,$H$3:$H$1460),3)</f>
        <v>48.125</v>
      </c>
    </row>
    <row r="1091" spans="1:13" x14ac:dyDescent="0.25">
      <c r="A1091" s="7">
        <v>1132</v>
      </c>
      <c r="B1091" s="6" t="s">
        <v>1055</v>
      </c>
      <c r="C1091" s="7">
        <v>5254584</v>
      </c>
      <c r="D1091" s="23" t="s">
        <v>1056</v>
      </c>
      <c r="E1091" s="6" t="s">
        <v>1057</v>
      </c>
      <c r="F1091" s="21" t="s">
        <v>20</v>
      </c>
      <c r="G1091" s="6" t="s">
        <v>1076</v>
      </c>
      <c r="H1091" s="22">
        <v>42.42</v>
      </c>
      <c r="I1091" s="9">
        <v>10</v>
      </c>
      <c r="J1091" s="22">
        <f t="shared" si="11"/>
        <v>424.20000000000005</v>
      </c>
      <c r="K1091" s="9">
        <f t="array" ref="K1091">QUARTILE(IF($F$3:$F$1460=$F1091,$H$3:$H$1460),1)</f>
        <v>22.082500000000003</v>
      </c>
      <c r="L1091" s="9">
        <f t="array" ref="L1091">QUARTILE(IF($F$3:$F$1460=$F1091,$H$3:$H$1460),2)</f>
        <v>31.15</v>
      </c>
      <c r="M1091" s="9">
        <f t="array" ref="M1091">QUARTILE(IF($F$3:$F$1460=$F1091,$H$3:$H$1460),3)</f>
        <v>48.125</v>
      </c>
    </row>
    <row r="1092" spans="1:13" x14ac:dyDescent="0.25">
      <c r="A1092" s="7">
        <v>1133</v>
      </c>
      <c r="B1092" s="6" t="s">
        <v>1055</v>
      </c>
      <c r="C1092" s="7">
        <v>5254584</v>
      </c>
      <c r="D1092" s="23" t="s">
        <v>1056</v>
      </c>
      <c r="E1092" s="6" t="s">
        <v>1057</v>
      </c>
      <c r="F1092" s="21" t="s">
        <v>31</v>
      </c>
      <c r="G1092" s="6" t="s">
        <v>1077</v>
      </c>
      <c r="H1092" s="22">
        <v>225</v>
      </c>
      <c r="I1092" s="9">
        <v>54</v>
      </c>
      <c r="J1092" s="22">
        <f t="shared" si="11"/>
        <v>12150</v>
      </c>
      <c r="K1092" s="9">
        <f t="array" ref="K1092">QUARTILE(IF($F$3:$F$1460=$F1092,$H$3:$H$1460),1)</f>
        <v>55.5</v>
      </c>
      <c r="L1092" s="9">
        <f t="array" ref="L1092">QUARTILE(IF($F$3:$F$1460=$F1092,$H$3:$H$1460),2)</f>
        <v>91.88</v>
      </c>
      <c r="M1092" s="9">
        <f t="array" ref="M1092">QUARTILE(IF($F$3:$F$1460=$F1092,$H$3:$H$1460),3)</f>
        <v>148.36000000000001</v>
      </c>
    </row>
    <row r="1093" spans="1:13" x14ac:dyDescent="0.25">
      <c r="A1093" s="7">
        <v>1134</v>
      </c>
      <c r="B1093" s="6" t="s">
        <v>1055</v>
      </c>
      <c r="C1093" s="7">
        <v>5254584</v>
      </c>
      <c r="D1093" s="23" t="s">
        <v>1056</v>
      </c>
      <c r="E1093" s="6" t="s">
        <v>1057</v>
      </c>
      <c r="F1093" s="21" t="s">
        <v>31</v>
      </c>
      <c r="G1093" s="6" t="s">
        <v>1078</v>
      </c>
      <c r="H1093" s="22">
        <v>56.61</v>
      </c>
      <c r="I1093" s="9">
        <v>33</v>
      </c>
      <c r="J1093" s="22">
        <f t="shared" si="11"/>
        <v>1868.1299999999999</v>
      </c>
      <c r="K1093" s="9">
        <f t="array" ref="K1093">QUARTILE(IF($F$3:$F$1460=$F1093,$H$3:$H$1460),1)</f>
        <v>55.5</v>
      </c>
      <c r="L1093" s="9">
        <f t="array" ref="L1093">QUARTILE(IF($F$3:$F$1460=$F1093,$H$3:$H$1460),2)</f>
        <v>91.88</v>
      </c>
      <c r="M1093" s="9">
        <f t="array" ref="M1093">QUARTILE(IF($F$3:$F$1460=$F1093,$H$3:$H$1460),3)</f>
        <v>148.36000000000001</v>
      </c>
    </row>
    <row r="1094" spans="1:13" x14ac:dyDescent="0.25">
      <c r="A1094" s="7">
        <v>1135</v>
      </c>
      <c r="B1094" s="6" t="s">
        <v>1055</v>
      </c>
      <c r="C1094" s="7">
        <v>5254584</v>
      </c>
      <c r="D1094" s="23" t="s">
        <v>1056</v>
      </c>
      <c r="E1094" s="6" t="s">
        <v>1057</v>
      </c>
      <c r="F1094" s="21" t="s">
        <v>31</v>
      </c>
      <c r="G1094" s="6" t="s">
        <v>1079</v>
      </c>
      <c r="H1094" s="22">
        <v>78.180000000000007</v>
      </c>
      <c r="I1094" s="9">
        <v>4</v>
      </c>
      <c r="J1094" s="22">
        <f t="shared" si="11"/>
        <v>312.72000000000003</v>
      </c>
      <c r="K1094" s="9">
        <f t="array" ref="K1094">QUARTILE(IF($F$3:$F$1460=$F1094,$H$3:$H$1460),1)</f>
        <v>55.5</v>
      </c>
      <c r="L1094" s="9">
        <f t="array" ref="L1094">QUARTILE(IF($F$3:$F$1460=$F1094,$H$3:$H$1460),2)</f>
        <v>91.88</v>
      </c>
      <c r="M1094" s="9">
        <f t="array" ref="M1094">QUARTILE(IF($F$3:$F$1460=$F1094,$H$3:$H$1460),3)</f>
        <v>148.36000000000001</v>
      </c>
    </row>
    <row r="1095" spans="1:13" x14ac:dyDescent="0.25">
      <c r="A1095" s="7">
        <v>1136</v>
      </c>
      <c r="B1095" s="6" t="s">
        <v>1055</v>
      </c>
      <c r="C1095" s="7">
        <v>5254584</v>
      </c>
      <c r="D1095" s="23" t="s">
        <v>1056</v>
      </c>
      <c r="E1095" s="6" t="s">
        <v>1057</v>
      </c>
      <c r="F1095" s="21" t="s">
        <v>68</v>
      </c>
      <c r="G1095" s="45" t="s">
        <v>1080</v>
      </c>
      <c r="H1095" s="22">
        <v>1216</v>
      </c>
      <c r="I1095" s="9">
        <v>2</v>
      </c>
      <c r="J1095" s="22">
        <f t="shared" si="11"/>
        <v>2432</v>
      </c>
      <c r="K1095" s="9">
        <f t="array" ref="K1095">QUARTILE(IF($F$3:$F$1460=$F1095,$H$3:$H$1460),1)</f>
        <v>2032</v>
      </c>
      <c r="L1095" s="9">
        <f t="array" ref="L1095">QUARTILE(IF($F$3:$F$1460=$F1095,$H$3:$H$1460),2)</f>
        <v>19360</v>
      </c>
      <c r="M1095" s="9">
        <f t="array" ref="M1095">QUARTILE(IF($F$3:$F$1460=$F1095,$H$3:$H$1460),3)</f>
        <v>87628.37</v>
      </c>
    </row>
    <row r="1096" spans="1:13" x14ac:dyDescent="0.25">
      <c r="A1096" s="7">
        <v>1137</v>
      </c>
      <c r="B1096" s="6" t="s">
        <v>1055</v>
      </c>
      <c r="C1096" s="7">
        <v>5254584</v>
      </c>
      <c r="D1096" s="23" t="s">
        <v>1056</v>
      </c>
      <c r="E1096" s="6" t="s">
        <v>1057</v>
      </c>
      <c r="F1096" s="21" t="s">
        <v>6</v>
      </c>
      <c r="G1096" s="6" t="s">
        <v>1081</v>
      </c>
      <c r="H1096" s="22">
        <v>17.399999999999999</v>
      </c>
      <c r="I1096" s="9">
        <v>500</v>
      </c>
      <c r="J1096" s="22">
        <f t="shared" si="11"/>
        <v>8700</v>
      </c>
      <c r="K1096" s="9">
        <f t="array" ref="K1096">QUARTILE(IF($F$3:$F$1460=$F1096,$H$3:$H$1460),1)</f>
        <v>4.25</v>
      </c>
      <c r="L1096" s="9">
        <f t="array" ref="L1096">QUARTILE(IF($F$3:$F$1460=$F1096,$H$3:$H$1460),2)</f>
        <v>6.12</v>
      </c>
      <c r="M1096" s="9">
        <f t="array" ref="M1096">QUARTILE(IF($F$3:$F$1460=$F1096,$H$3:$H$1460),3)</f>
        <v>13.55</v>
      </c>
    </row>
    <row r="1097" spans="1:13" x14ac:dyDescent="0.25">
      <c r="A1097" s="7">
        <v>1138</v>
      </c>
      <c r="B1097" s="6" t="s">
        <v>1055</v>
      </c>
      <c r="C1097" s="7">
        <v>5254584</v>
      </c>
      <c r="D1097" s="23" t="s">
        <v>1056</v>
      </c>
      <c r="E1097" s="6" t="s">
        <v>1057</v>
      </c>
      <c r="F1097" s="21" t="s">
        <v>6</v>
      </c>
      <c r="G1097" s="6" t="s">
        <v>1082</v>
      </c>
      <c r="H1097" s="22">
        <v>24.22</v>
      </c>
      <c r="I1097" s="9">
        <v>30</v>
      </c>
      <c r="J1097" s="22">
        <f t="shared" si="11"/>
        <v>726.59999999999991</v>
      </c>
      <c r="K1097" s="9">
        <f t="array" ref="K1097">QUARTILE(IF($F$3:$F$1460=$F1097,$H$3:$H$1460),1)</f>
        <v>4.25</v>
      </c>
      <c r="L1097" s="9">
        <f t="array" ref="L1097">QUARTILE(IF($F$3:$F$1460=$F1097,$H$3:$H$1460),2)</f>
        <v>6.12</v>
      </c>
      <c r="M1097" s="9">
        <f t="array" ref="M1097">QUARTILE(IF($F$3:$F$1460=$F1097,$H$3:$H$1460),3)</f>
        <v>13.55</v>
      </c>
    </row>
    <row r="1098" spans="1:13" x14ac:dyDescent="0.25">
      <c r="A1098" s="7">
        <v>1139</v>
      </c>
      <c r="B1098" s="6" t="s">
        <v>1055</v>
      </c>
      <c r="C1098" s="7">
        <v>5254584</v>
      </c>
      <c r="D1098" s="23" t="s">
        <v>1056</v>
      </c>
      <c r="E1098" s="6" t="s">
        <v>1057</v>
      </c>
      <c r="F1098" s="21" t="s">
        <v>9</v>
      </c>
      <c r="G1098" s="6" t="s">
        <v>1083</v>
      </c>
      <c r="H1098" s="22">
        <v>4.93</v>
      </c>
      <c r="I1098" s="9">
        <v>534</v>
      </c>
      <c r="J1098" s="22">
        <f t="shared" si="11"/>
        <v>2632.62</v>
      </c>
      <c r="K1098" s="9">
        <f t="array" ref="K1098">QUARTILE(IF($F$3:$F$1460=$F1098,$H$3:$H$1460),1)</f>
        <v>5.1899999999999995</v>
      </c>
      <c r="L1098" s="9">
        <f t="array" ref="L1098">QUARTILE(IF($F$3:$F$1460=$F1098,$H$3:$H$1460),2)</f>
        <v>8.5</v>
      </c>
      <c r="M1098" s="9">
        <f t="array" ref="M1098">QUARTILE(IF($F$3:$F$1460=$F1098,$H$3:$H$1460),3)</f>
        <v>21.95</v>
      </c>
    </row>
    <row r="1099" spans="1:13" x14ac:dyDescent="0.25">
      <c r="A1099" s="7">
        <v>1140</v>
      </c>
      <c r="B1099" s="6" t="s">
        <v>1084</v>
      </c>
      <c r="C1099" s="7">
        <v>5608437</v>
      </c>
      <c r="D1099" s="23" t="s">
        <v>1085</v>
      </c>
      <c r="E1099" s="6" t="s">
        <v>1086</v>
      </c>
      <c r="F1099" s="21" t="s">
        <v>68</v>
      </c>
      <c r="G1099" s="6" t="s">
        <v>1087</v>
      </c>
      <c r="H1099" s="22">
        <v>87628.37</v>
      </c>
      <c r="I1099" s="9">
        <v>1</v>
      </c>
      <c r="J1099" s="22">
        <f t="shared" si="11"/>
        <v>87628.37</v>
      </c>
      <c r="K1099" s="9">
        <f t="array" ref="K1099">QUARTILE(IF($F$3:$F$1460=$F1099,$H$3:$H$1460),1)</f>
        <v>2032</v>
      </c>
      <c r="L1099" s="9">
        <f t="array" ref="L1099">QUARTILE(IF($F$3:$F$1460=$F1099,$H$3:$H$1460),2)</f>
        <v>19360</v>
      </c>
      <c r="M1099" s="9">
        <f t="array" ref="M1099">QUARTILE(IF($F$3:$F$1460=$F1099,$H$3:$H$1460),3)</f>
        <v>87628.37</v>
      </c>
    </row>
    <row r="1100" spans="1:13" x14ac:dyDescent="0.25">
      <c r="A1100" s="7">
        <v>1141</v>
      </c>
      <c r="B1100" s="6" t="s">
        <v>1084</v>
      </c>
      <c r="C1100" s="7">
        <v>5608437</v>
      </c>
      <c r="D1100" s="23" t="s">
        <v>1085</v>
      </c>
      <c r="E1100" s="6" t="s">
        <v>1086</v>
      </c>
      <c r="F1100" s="21" t="s">
        <v>76</v>
      </c>
      <c r="G1100" s="6" t="s">
        <v>1088</v>
      </c>
      <c r="H1100" s="22">
        <f>38787.47+467.67*15+96.47*10</f>
        <v>46767.22</v>
      </c>
      <c r="I1100" s="9">
        <v>1</v>
      </c>
      <c r="J1100" s="22">
        <f t="shared" si="11"/>
        <v>46767.22</v>
      </c>
      <c r="K1100" s="9">
        <f t="array" ref="K1100">QUARTILE(IF($F$3:$F$1460=$F1100,$H$3:$H$1460),1)</f>
        <v>11441.9125</v>
      </c>
      <c r="L1100" s="9">
        <f t="array" ref="L1100">QUARTILE(IF($F$3:$F$1460=$F1100,$H$3:$H$1460),2)</f>
        <v>24241.455000000002</v>
      </c>
      <c r="M1100" s="9">
        <f t="array" ref="M1100">QUARTILE(IF($F$3:$F$1460=$F1100,$H$3:$H$1460),3)</f>
        <v>41877.177500000005</v>
      </c>
    </row>
    <row r="1101" spans="1:13" x14ac:dyDescent="0.25">
      <c r="A1101" s="7">
        <v>1142</v>
      </c>
      <c r="B1101" s="6" t="s">
        <v>97</v>
      </c>
      <c r="C1101" s="7">
        <v>5694910</v>
      </c>
      <c r="D1101" s="23" t="s">
        <v>1089</v>
      </c>
      <c r="E1101" s="6" t="s">
        <v>1090</v>
      </c>
      <c r="F1101" s="21" t="s">
        <v>44</v>
      </c>
      <c r="G1101" s="45" t="s">
        <v>1091</v>
      </c>
      <c r="H1101" s="22">
        <v>129</v>
      </c>
      <c r="I1101" s="9">
        <v>27</v>
      </c>
      <c r="J1101" s="22">
        <f t="shared" si="11"/>
        <v>3483</v>
      </c>
      <c r="K1101" s="9">
        <f t="array" ref="K1101">QUARTILE(IF($F$3:$F$1460=$F1101,$H$3:$H$1460),1)</f>
        <v>141.67500000000001</v>
      </c>
      <c r="L1101" s="9">
        <f t="array" ref="L1101">QUARTILE(IF($F$3:$F$1460=$F1101,$H$3:$H$1460),2)</f>
        <v>194</v>
      </c>
      <c r="M1101" s="9">
        <f t="array" ref="M1101">QUARTILE(IF($F$3:$F$1460=$F1101,$H$3:$H$1460),3)</f>
        <v>266.75</v>
      </c>
    </row>
    <row r="1102" spans="1:13" x14ac:dyDescent="0.25">
      <c r="A1102" s="7">
        <v>1143</v>
      </c>
      <c r="B1102" s="6" t="s">
        <v>97</v>
      </c>
      <c r="C1102" s="7">
        <v>5694910</v>
      </c>
      <c r="D1102" s="23" t="s">
        <v>1089</v>
      </c>
      <c r="E1102" s="6" t="s">
        <v>1090</v>
      </c>
      <c r="F1102" s="21" t="s">
        <v>44</v>
      </c>
      <c r="G1102" s="45" t="s">
        <v>1092</v>
      </c>
      <c r="H1102" s="22">
        <v>187</v>
      </c>
      <c r="I1102" s="9">
        <v>11</v>
      </c>
      <c r="J1102" s="22">
        <f t="shared" si="11"/>
        <v>2057</v>
      </c>
      <c r="K1102" s="9">
        <f t="array" ref="K1102">QUARTILE(IF($F$3:$F$1460=$F1102,$H$3:$H$1460),1)</f>
        <v>141.67500000000001</v>
      </c>
      <c r="L1102" s="9">
        <f t="array" ref="L1102">QUARTILE(IF($F$3:$F$1460=$F1102,$H$3:$H$1460),2)</f>
        <v>194</v>
      </c>
      <c r="M1102" s="9">
        <f t="array" ref="M1102">QUARTILE(IF($F$3:$F$1460=$F1102,$H$3:$H$1460),3)</f>
        <v>266.75</v>
      </c>
    </row>
    <row r="1103" spans="1:13" x14ac:dyDescent="0.25">
      <c r="A1103" s="7">
        <v>1144</v>
      </c>
      <c r="B1103" s="6" t="s">
        <v>97</v>
      </c>
      <c r="C1103" s="7">
        <v>5694910</v>
      </c>
      <c r="D1103" s="23" t="s">
        <v>1089</v>
      </c>
      <c r="E1103" s="6" t="s">
        <v>1090</v>
      </c>
      <c r="F1103" s="21" t="s">
        <v>44</v>
      </c>
      <c r="G1103" s="45" t="s">
        <v>1093</v>
      </c>
      <c r="H1103" s="22">
        <v>325</v>
      </c>
      <c r="I1103" s="9">
        <v>12</v>
      </c>
      <c r="J1103" s="22">
        <f t="shared" si="11"/>
        <v>3900</v>
      </c>
      <c r="K1103" s="9">
        <f t="array" ref="K1103">QUARTILE(IF($F$3:$F$1460=$F1103,$H$3:$H$1460),1)</f>
        <v>141.67500000000001</v>
      </c>
      <c r="L1103" s="9">
        <f t="array" ref="L1103">QUARTILE(IF($F$3:$F$1460=$F1103,$H$3:$H$1460),2)</f>
        <v>194</v>
      </c>
      <c r="M1103" s="9">
        <f t="array" ref="M1103">QUARTILE(IF($F$3:$F$1460=$F1103,$H$3:$H$1460),3)</f>
        <v>266.75</v>
      </c>
    </row>
    <row r="1104" spans="1:13" x14ac:dyDescent="0.25">
      <c r="A1104" s="7">
        <v>1145</v>
      </c>
      <c r="B1104" s="6" t="s">
        <v>97</v>
      </c>
      <c r="C1104" s="7">
        <v>5694910</v>
      </c>
      <c r="D1104" s="23" t="s">
        <v>1089</v>
      </c>
      <c r="E1104" s="6" t="s">
        <v>1090</v>
      </c>
      <c r="F1104" s="21" t="s">
        <v>44</v>
      </c>
      <c r="G1104" s="45" t="s">
        <v>1094</v>
      </c>
      <c r="H1104" s="22">
        <v>94</v>
      </c>
      <c r="I1104" s="9">
        <v>10</v>
      </c>
      <c r="J1104" s="22">
        <f t="shared" si="11"/>
        <v>940</v>
      </c>
      <c r="K1104" s="9">
        <f t="array" ref="K1104">QUARTILE(IF($F$3:$F$1460=$F1104,$H$3:$H$1460),1)</f>
        <v>141.67500000000001</v>
      </c>
      <c r="L1104" s="9">
        <f t="array" ref="L1104">QUARTILE(IF($F$3:$F$1460=$F1104,$H$3:$H$1460),2)</f>
        <v>194</v>
      </c>
      <c r="M1104" s="9">
        <f t="array" ref="M1104">QUARTILE(IF($F$3:$F$1460=$F1104,$H$3:$H$1460),3)</f>
        <v>266.75</v>
      </c>
    </row>
    <row r="1105" spans="1:13" x14ac:dyDescent="0.25">
      <c r="A1105" s="7">
        <v>1146</v>
      </c>
      <c r="B1105" s="6" t="s">
        <v>97</v>
      </c>
      <c r="C1105" s="7">
        <v>5694910</v>
      </c>
      <c r="D1105" s="23" t="s">
        <v>1089</v>
      </c>
      <c r="E1105" s="6" t="s">
        <v>1090</v>
      </c>
      <c r="F1105" s="21" t="s">
        <v>44</v>
      </c>
      <c r="G1105" s="45" t="s">
        <v>1095</v>
      </c>
      <c r="H1105" s="22">
        <v>99</v>
      </c>
      <c r="I1105" s="9">
        <v>25</v>
      </c>
      <c r="J1105" s="22">
        <f t="shared" si="11"/>
        <v>2475</v>
      </c>
      <c r="K1105" s="9">
        <f t="array" ref="K1105">QUARTILE(IF($F$3:$F$1460=$F1105,$H$3:$H$1460),1)</f>
        <v>141.67500000000001</v>
      </c>
      <c r="L1105" s="9">
        <f t="array" ref="L1105">QUARTILE(IF($F$3:$F$1460=$F1105,$H$3:$H$1460),2)</f>
        <v>194</v>
      </c>
      <c r="M1105" s="9">
        <f t="array" ref="M1105">QUARTILE(IF($F$3:$F$1460=$F1105,$H$3:$H$1460),3)</f>
        <v>266.75</v>
      </c>
    </row>
    <row r="1106" spans="1:13" x14ac:dyDescent="0.25">
      <c r="A1106" s="7">
        <v>1147</v>
      </c>
      <c r="B1106" s="6" t="s">
        <v>97</v>
      </c>
      <c r="C1106" s="7">
        <v>5694910</v>
      </c>
      <c r="D1106" s="23" t="s">
        <v>1089</v>
      </c>
      <c r="E1106" s="6" t="s">
        <v>1090</v>
      </c>
      <c r="F1106" s="21" t="s">
        <v>44</v>
      </c>
      <c r="G1106" s="45" t="s">
        <v>1096</v>
      </c>
      <c r="H1106" s="22">
        <v>147</v>
      </c>
      <c r="I1106" s="9">
        <v>10</v>
      </c>
      <c r="J1106" s="22">
        <f t="shared" si="11"/>
        <v>1470</v>
      </c>
      <c r="K1106" s="9">
        <f t="array" ref="K1106">QUARTILE(IF($F$3:$F$1460=$F1106,$H$3:$H$1460),1)</f>
        <v>141.67500000000001</v>
      </c>
      <c r="L1106" s="9">
        <f t="array" ref="L1106">QUARTILE(IF($F$3:$F$1460=$F1106,$H$3:$H$1460),2)</f>
        <v>194</v>
      </c>
      <c r="M1106" s="9">
        <f t="array" ref="M1106">QUARTILE(IF($F$3:$F$1460=$F1106,$H$3:$H$1460),3)</f>
        <v>266.75</v>
      </c>
    </row>
    <row r="1107" spans="1:13" x14ac:dyDescent="0.25">
      <c r="A1107" s="7">
        <v>1148</v>
      </c>
      <c r="B1107" s="6" t="s">
        <v>97</v>
      </c>
      <c r="C1107" s="7">
        <v>5694910</v>
      </c>
      <c r="D1107" s="23" t="s">
        <v>1089</v>
      </c>
      <c r="E1107" s="6" t="s">
        <v>1090</v>
      </c>
      <c r="F1107" s="21" t="s">
        <v>60</v>
      </c>
      <c r="G1107" s="45" t="s">
        <v>1097</v>
      </c>
      <c r="H1107" s="22">
        <v>420</v>
      </c>
      <c r="I1107" s="9">
        <v>2</v>
      </c>
      <c r="J1107" s="22">
        <f t="shared" si="11"/>
        <v>840</v>
      </c>
      <c r="K1107" s="9">
        <f t="array" ref="K1107">QUARTILE(IF($F$3:$F$1460=$F1107,$H$3:$H$1460),1)</f>
        <v>680</v>
      </c>
      <c r="L1107" s="9">
        <f t="array" ref="L1107">QUARTILE(IF($F$3:$F$1460=$F1107,$H$3:$H$1460),2)</f>
        <v>991</v>
      </c>
      <c r="M1107" s="9">
        <f t="array" ref="M1107">QUARTILE(IF($F$3:$F$1460=$F1107,$H$3:$H$1460),3)</f>
        <v>1485.8333333333335</v>
      </c>
    </row>
    <row r="1108" spans="1:13" x14ac:dyDescent="0.25">
      <c r="A1108" s="7">
        <v>1149</v>
      </c>
      <c r="B1108" s="6" t="s">
        <v>97</v>
      </c>
      <c r="C1108" s="7">
        <v>5694910</v>
      </c>
      <c r="D1108" s="23" t="s">
        <v>1089</v>
      </c>
      <c r="E1108" s="6" t="s">
        <v>1090</v>
      </c>
      <c r="F1108" s="21" t="s">
        <v>60</v>
      </c>
      <c r="G1108" s="45" t="s">
        <v>1098</v>
      </c>
      <c r="H1108" s="22">
        <v>770</v>
      </c>
      <c r="I1108" s="9">
        <v>13</v>
      </c>
      <c r="J1108" s="22">
        <f t="shared" si="11"/>
        <v>10010</v>
      </c>
      <c r="K1108" s="9">
        <f t="array" ref="K1108">QUARTILE(IF($F$3:$F$1460=$F1108,$H$3:$H$1460),1)</f>
        <v>680</v>
      </c>
      <c r="L1108" s="9">
        <f t="array" ref="L1108">QUARTILE(IF($F$3:$F$1460=$F1108,$H$3:$H$1460),2)</f>
        <v>991</v>
      </c>
      <c r="M1108" s="9">
        <f t="array" ref="M1108">QUARTILE(IF($F$3:$F$1460=$F1108,$H$3:$H$1460),3)</f>
        <v>1485.8333333333335</v>
      </c>
    </row>
    <row r="1109" spans="1:13" x14ac:dyDescent="0.25">
      <c r="A1109" s="7">
        <v>1150</v>
      </c>
      <c r="B1109" s="6" t="s">
        <v>97</v>
      </c>
      <c r="C1109" s="7">
        <v>5694910</v>
      </c>
      <c r="D1109" s="23" t="s">
        <v>1089</v>
      </c>
      <c r="E1109" s="6" t="s">
        <v>1090</v>
      </c>
      <c r="F1109" s="21" t="s">
        <v>60</v>
      </c>
      <c r="G1109" s="45" t="s">
        <v>1099</v>
      </c>
      <c r="H1109" s="22">
        <v>950</v>
      </c>
      <c r="I1109" s="9">
        <v>15</v>
      </c>
      <c r="J1109" s="22">
        <f t="shared" si="11"/>
        <v>14250</v>
      </c>
      <c r="K1109" s="9">
        <f t="array" ref="K1109">QUARTILE(IF($F$3:$F$1460=$F1109,$H$3:$H$1460),1)</f>
        <v>680</v>
      </c>
      <c r="L1109" s="9">
        <f t="array" ref="L1109">QUARTILE(IF($F$3:$F$1460=$F1109,$H$3:$H$1460),2)</f>
        <v>991</v>
      </c>
      <c r="M1109" s="9">
        <f t="array" ref="M1109">QUARTILE(IF($F$3:$F$1460=$F1109,$H$3:$H$1460),3)</f>
        <v>1485.8333333333335</v>
      </c>
    </row>
    <row r="1110" spans="1:13" x14ac:dyDescent="0.25">
      <c r="A1110" s="7">
        <v>1151</v>
      </c>
      <c r="B1110" s="6" t="s">
        <v>97</v>
      </c>
      <c r="C1110" s="7">
        <v>5694910</v>
      </c>
      <c r="D1110" s="23" t="s">
        <v>1089</v>
      </c>
      <c r="E1110" s="6" t="s">
        <v>1090</v>
      </c>
      <c r="F1110" s="21" t="s">
        <v>60</v>
      </c>
      <c r="G1110" s="45" t="s">
        <v>1100</v>
      </c>
      <c r="H1110" s="22">
        <v>680</v>
      </c>
      <c r="I1110" s="9">
        <v>12</v>
      </c>
      <c r="J1110" s="22">
        <f t="shared" si="11"/>
        <v>8160</v>
      </c>
      <c r="K1110" s="9">
        <f t="array" ref="K1110">QUARTILE(IF($F$3:$F$1460=$F1110,$H$3:$H$1460),1)</f>
        <v>680</v>
      </c>
      <c r="L1110" s="9">
        <f t="array" ref="L1110">QUARTILE(IF($F$3:$F$1460=$F1110,$H$3:$H$1460),2)</f>
        <v>991</v>
      </c>
      <c r="M1110" s="9">
        <f t="array" ref="M1110">QUARTILE(IF($F$3:$F$1460=$F1110,$H$3:$H$1460),3)</f>
        <v>1485.8333333333335</v>
      </c>
    </row>
    <row r="1111" spans="1:13" x14ac:dyDescent="0.25">
      <c r="A1111" s="7">
        <v>1152</v>
      </c>
      <c r="B1111" s="6" t="s">
        <v>97</v>
      </c>
      <c r="C1111" s="7">
        <v>5694910</v>
      </c>
      <c r="D1111" s="23" t="s">
        <v>1089</v>
      </c>
      <c r="E1111" s="6" t="s">
        <v>1090</v>
      </c>
      <c r="F1111" s="21" t="s">
        <v>60</v>
      </c>
      <c r="G1111" s="45" t="s">
        <v>1101</v>
      </c>
      <c r="H1111" s="22">
        <v>498</v>
      </c>
      <c r="I1111" s="9">
        <v>5</v>
      </c>
      <c r="J1111" s="22">
        <f t="shared" si="11"/>
        <v>2490</v>
      </c>
      <c r="K1111" s="9">
        <f t="array" ref="K1111">QUARTILE(IF($F$3:$F$1460=$F1111,$H$3:$H$1460),1)</f>
        <v>680</v>
      </c>
      <c r="L1111" s="9">
        <f t="array" ref="L1111">QUARTILE(IF($F$3:$F$1460=$F1111,$H$3:$H$1460),2)</f>
        <v>991</v>
      </c>
      <c r="M1111" s="9">
        <f t="array" ref="M1111">QUARTILE(IF($F$3:$F$1460=$F1111,$H$3:$H$1460),3)</f>
        <v>1485.8333333333335</v>
      </c>
    </row>
    <row r="1112" spans="1:13" x14ac:dyDescent="0.25">
      <c r="A1112" s="7">
        <v>1153</v>
      </c>
      <c r="B1112" s="6" t="s">
        <v>97</v>
      </c>
      <c r="C1112" s="7">
        <v>5694910</v>
      </c>
      <c r="D1112" s="23" t="s">
        <v>1089</v>
      </c>
      <c r="E1112" s="6" t="s">
        <v>1090</v>
      </c>
      <c r="F1112" s="21" t="s">
        <v>60</v>
      </c>
      <c r="G1112" s="45" t="s">
        <v>1102</v>
      </c>
      <c r="H1112" s="22">
        <v>540</v>
      </c>
      <c r="I1112" s="9">
        <v>7</v>
      </c>
      <c r="J1112" s="22">
        <f t="shared" si="11"/>
        <v>3780</v>
      </c>
      <c r="K1112" s="9">
        <f t="array" ref="K1112">QUARTILE(IF($F$3:$F$1460=$F1112,$H$3:$H$1460),1)</f>
        <v>680</v>
      </c>
      <c r="L1112" s="9">
        <f t="array" ref="L1112">QUARTILE(IF($F$3:$F$1460=$F1112,$H$3:$H$1460),2)</f>
        <v>991</v>
      </c>
      <c r="M1112" s="9">
        <f t="array" ref="M1112">QUARTILE(IF($F$3:$F$1460=$F1112,$H$3:$H$1460),3)</f>
        <v>1485.8333333333335</v>
      </c>
    </row>
    <row r="1113" spans="1:13" x14ac:dyDescent="0.25">
      <c r="A1113" s="7">
        <v>1154</v>
      </c>
      <c r="B1113" s="6" t="s">
        <v>97</v>
      </c>
      <c r="C1113" s="7">
        <v>5694910</v>
      </c>
      <c r="D1113" s="23" t="s">
        <v>1089</v>
      </c>
      <c r="E1113" s="6" t="s">
        <v>1090</v>
      </c>
      <c r="F1113" s="21" t="s">
        <v>60</v>
      </c>
      <c r="G1113" s="45" t="s">
        <v>1103</v>
      </c>
      <c r="H1113" s="22">
        <v>550</v>
      </c>
      <c r="I1113" s="9">
        <v>2</v>
      </c>
      <c r="J1113" s="22">
        <f t="shared" si="11"/>
        <v>1100</v>
      </c>
      <c r="K1113" s="9">
        <f t="array" ref="K1113">QUARTILE(IF($F$3:$F$1460=$F1113,$H$3:$H$1460),1)</f>
        <v>680</v>
      </c>
      <c r="L1113" s="9">
        <f t="array" ref="L1113">QUARTILE(IF($F$3:$F$1460=$F1113,$H$3:$H$1460),2)</f>
        <v>991</v>
      </c>
      <c r="M1113" s="9">
        <f t="array" ref="M1113">QUARTILE(IF($F$3:$F$1460=$F1113,$H$3:$H$1460),3)</f>
        <v>1485.8333333333335</v>
      </c>
    </row>
    <row r="1114" spans="1:13" x14ac:dyDescent="0.25">
      <c r="A1114" s="7">
        <v>1155</v>
      </c>
      <c r="B1114" s="6" t="s">
        <v>97</v>
      </c>
      <c r="C1114" s="7">
        <v>5694910</v>
      </c>
      <c r="D1114" s="23" t="s">
        <v>1089</v>
      </c>
      <c r="E1114" s="6" t="s">
        <v>1090</v>
      </c>
      <c r="F1114" s="21" t="s">
        <v>60</v>
      </c>
      <c r="G1114" s="45" t="s">
        <v>1104</v>
      </c>
      <c r="H1114" s="22">
        <v>1120</v>
      </c>
      <c r="I1114" s="9">
        <v>2</v>
      </c>
      <c r="J1114" s="22">
        <f t="shared" si="11"/>
        <v>2240</v>
      </c>
      <c r="K1114" s="9">
        <f t="array" ref="K1114">QUARTILE(IF($F$3:$F$1460=$F1114,$H$3:$H$1460),1)</f>
        <v>680</v>
      </c>
      <c r="L1114" s="9">
        <f t="array" ref="L1114">QUARTILE(IF($F$3:$F$1460=$F1114,$H$3:$H$1460),2)</f>
        <v>991</v>
      </c>
      <c r="M1114" s="9">
        <f t="array" ref="M1114">QUARTILE(IF($F$3:$F$1460=$F1114,$H$3:$H$1460),3)</f>
        <v>1485.8333333333335</v>
      </c>
    </row>
    <row r="1115" spans="1:13" x14ac:dyDescent="0.25">
      <c r="A1115" s="7">
        <v>1156</v>
      </c>
      <c r="B1115" s="6" t="s">
        <v>97</v>
      </c>
      <c r="C1115" s="7">
        <v>5694910</v>
      </c>
      <c r="D1115" s="23" t="s">
        <v>1089</v>
      </c>
      <c r="E1115" s="6" t="s">
        <v>1090</v>
      </c>
      <c r="F1115" s="21" t="s">
        <v>60</v>
      </c>
      <c r="G1115" s="45" t="s">
        <v>1105</v>
      </c>
      <c r="H1115" s="22">
        <v>498</v>
      </c>
      <c r="I1115" s="9">
        <v>8</v>
      </c>
      <c r="J1115" s="22">
        <f t="shared" si="11"/>
        <v>3984</v>
      </c>
      <c r="K1115" s="9">
        <f t="array" ref="K1115">QUARTILE(IF($F$3:$F$1460=$F1115,$H$3:$H$1460),1)</f>
        <v>680</v>
      </c>
      <c r="L1115" s="9">
        <f t="array" ref="L1115">QUARTILE(IF($F$3:$F$1460=$F1115,$H$3:$H$1460),2)</f>
        <v>991</v>
      </c>
      <c r="M1115" s="9">
        <f t="array" ref="M1115">QUARTILE(IF($F$3:$F$1460=$F1115,$H$3:$H$1460),3)</f>
        <v>1485.8333333333335</v>
      </c>
    </row>
    <row r="1116" spans="1:13" x14ac:dyDescent="0.25">
      <c r="A1116" s="7">
        <v>1157</v>
      </c>
      <c r="B1116" s="6" t="s">
        <v>97</v>
      </c>
      <c r="C1116" s="7">
        <v>5694910</v>
      </c>
      <c r="D1116" s="23" t="s">
        <v>1089</v>
      </c>
      <c r="E1116" s="6" t="s">
        <v>1090</v>
      </c>
      <c r="F1116" s="21" t="s">
        <v>62</v>
      </c>
      <c r="G1116" s="6" t="s">
        <v>1106</v>
      </c>
      <c r="H1116" s="22">
        <v>890</v>
      </c>
      <c r="I1116" s="9">
        <v>2</v>
      </c>
      <c r="J1116" s="22">
        <f t="shared" si="11"/>
        <v>1780</v>
      </c>
      <c r="K1116" s="9">
        <f t="array" ref="K1116">QUARTILE(IF($F$3:$F$1460=$F1116,$H$3:$H$1460),1)</f>
        <v>783.15</v>
      </c>
      <c r="L1116" s="9">
        <f t="array" ref="L1116">QUARTILE(IF($F$3:$F$1460=$F1116,$H$3:$H$1460),2)</f>
        <v>1196.3</v>
      </c>
      <c r="M1116" s="9">
        <f t="array" ref="M1116">QUARTILE(IF($F$3:$F$1460=$F1116,$H$3:$H$1460),3)</f>
        <v>1455.5</v>
      </c>
    </row>
    <row r="1117" spans="1:13" x14ac:dyDescent="0.25">
      <c r="A1117" s="7">
        <v>1158</v>
      </c>
      <c r="B1117" s="6" t="s">
        <v>97</v>
      </c>
      <c r="C1117" s="7">
        <v>5694910</v>
      </c>
      <c r="D1117" s="23" t="s">
        <v>1089</v>
      </c>
      <c r="E1117" s="6" t="s">
        <v>1090</v>
      </c>
      <c r="F1117" s="21" t="s">
        <v>62</v>
      </c>
      <c r="G1117" s="6" t="s">
        <v>1107</v>
      </c>
      <c r="H1117" s="22">
        <v>710</v>
      </c>
      <c r="I1117" s="9">
        <v>34</v>
      </c>
      <c r="J1117" s="22">
        <f t="shared" si="11"/>
        <v>24140</v>
      </c>
      <c r="K1117" s="9">
        <f t="array" ref="K1117">QUARTILE(IF($F$3:$F$1460=$F1117,$H$3:$H$1460),1)</f>
        <v>783.15</v>
      </c>
      <c r="L1117" s="9">
        <f t="array" ref="L1117">QUARTILE(IF($F$3:$F$1460=$F1117,$H$3:$H$1460),2)</f>
        <v>1196.3</v>
      </c>
      <c r="M1117" s="9">
        <f t="array" ref="M1117">QUARTILE(IF($F$3:$F$1460=$F1117,$H$3:$H$1460),3)</f>
        <v>1455.5</v>
      </c>
    </row>
    <row r="1118" spans="1:13" x14ac:dyDescent="0.25">
      <c r="A1118" s="7">
        <v>1159</v>
      </c>
      <c r="B1118" s="6" t="s">
        <v>97</v>
      </c>
      <c r="C1118" s="7">
        <v>5694910</v>
      </c>
      <c r="D1118" s="23" t="s">
        <v>1089</v>
      </c>
      <c r="E1118" s="6" t="s">
        <v>1090</v>
      </c>
      <c r="F1118" s="21" t="s">
        <v>62</v>
      </c>
      <c r="G1118" s="6" t="s">
        <v>1108</v>
      </c>
      <c r="H1118" s="22">
        <v>830</v>
      </c>
      <c r="I1118" s="9">
        <v>15</v>
      </c>
      <c r="J1118" s="22">
        <f t="shared" si="11"/>
        <v>12450</v>
      </c>
      <c r="K1118" s="9">
        <f t="array" ref="K1118">QUARTILE(IF($F$3:$F$1460=$F1118,$H$3:$H$1460),1)</f>
        <v>783.15</v>
      </c>
      <c r="L1118" s="9">
        <f t="array" ref="L1118">QUARTILE(IF($F$3:$F$1460=$F1118,$H$3:$H$1460),2)</f>
        <v>1196.3</v>
      </c>
      <c r="M1118" s="9">
        <f t="array" ref="M1118">QUARTILE(IF($F$3:$F$1460=$F1118,$H$3:$H$1460),3)</f>
        <v>1455.5</v>
      </c>
    </row>
    <row r="1119" spans="1:13" x14ac:dyDescent="0.25">
      <c r="A1119" s="7">
        <v>1160</v>
      </c>
      <c r="B1119" s="6" t="s">
        <v>97</v>
      </c>
      <c r="C1119" s="7">
        <v>5694910</v>
      </c>
      <c r="D1119" s="23" t="s">
        <v>1089</v>
      </c>
      <c r="E1119" s="6" t="s">
        <v>1090</v>
      </c>
      <c r="F1119" s="21" t="s">
        <v>62</v>
      </c>
      <c r="G1119" s="6" t="s">
        <v>1109</v>
      </c>
      <c r="H1119" s="22">
        <v>1120</v>
      </c>
      <c r="I1119" s="9">
        <v>5</v>
      </c>
      <c r="J1119" s="22">
        <f t="shared" si="11"/>
        <v>5600</v>
      </c>
      <c r="K1119" s="9">
        <f t="array" ref="K1119">QUARTILE(IF($F$3:$F$1460=$F1119,$H$3:$H$1460),1)</f>
        <v>783.15</v>
      </c>
      <c r="L1119" s="9">
        <f t="array" ref="L1119">QUARTILE(IF($F$3:$F$1460=$F1119,$H$3:$H$1460),2)</f>
        <v>1196.3</v>
      </c>
      <c r="M1119" s="9">
        <f t="array" ref="M1119">QUARTILE(IF($F$3:$F$1460=$F1119,$H$3:$H$1460),3)</f>
        <v>1455.5</v>
      </c>
    </row>
    <row r="1120" spans="1:13" x14ac:dyDescent="0.25">
      <c r="A1120" s="7">
        <v>1161</v>
      </c>
      <c r="B1120" s="6" t="s">
        <v>97</v>
      </c>
      <c r="C1120" s="7">
        <v>5694910</v>
      </c>
      <c r="D1120" s="23" t="s">
        <v>1089</v>
      </c>
      <c r="E1120" s="6" t="s">
        <v>1090</v>
      </c>
      <c r="F1120" s="21" t="s">
        <v>62</v>
      </c>
      <c r="G1120" s="6" t="s">
        <v>1110</v>
      </c>
      <c r="H1120" s="22">
        <v>1290</v>
      </c>
      <c r="I1120" s="9">
        <v>2</v>
      </c>
      <c r="J1120" s="22">
        <f t="shared" si="11"/>
        <v>2580</v>
      </c>
      <c r="K1120" s="9">
        <f t="array" ref="K1120">QUARTILE(IF($F$3:$F$1460=$F1120,$H$3:$H$1460),1)</f>
        <v>783.15</v>
      </c>
      <c r="L1120" s="9">
        <f t="array" ref="L1120">QUARTILE(IF($F$3:$F$1460=$F1120,$H$3:$H$1460),2)</f>
        <v>1196.3</v>
      </c>
      <c r="M1120" s="9">
        <f t="array" ref="M1120">QUARTILE(IF($F$3:$F$1460=$F1120,$H$3:$H$1460),3)</f>
        <v>1455.5</v>
      </c>
    </row>
    <row r="1121" spans="1:13" x14ac:dyDescent="0.25">
      <c r="A1121" s="7">
        <v>1162</v>
      </c>
      <c r="B1121" s="6" t="s">
        <v>97</v>
      </c>
      <c r="C1121" s="7">
        <v>5694910</v>
      </c>
      <c r="D1121" s="23" t="s">
        <v>1089</v>
      </c>
      <c r="E1121" s="6" t="s">
        <v>1090</v>
      </c>
      <c r="F1121" s="21" t="s">
        <v>62</v>
      </c>
      <c r="G1121" s="6" t="s">
        <v>1111</v>
      </c>
      <c r="H1121" s="22">
        <v>1260</v>
      </c>
      <c r="I1121" s="9">
        <v>3</v>
      </c>
      <c r="J1121" s="22">
        <f t="shared" si="11"/>
        <v>3780</v>
      </c>
      <c r="K1121" s="9">
        <f t="array" ref="K1121">QUARTILE(IF($F$3:$F$1460=$F1121,$H$3:$H$1460),1)</f>
        <v>783.15</v>
      </c>
      <c r="L1121" s="9">
        <f t="array" ref="L1121">QUARTILE(IF($F$3:$F$1460=$F1121,$H$3:$H$1460),2)</f>
        <v>1196.3</v>
      </c>
      <c r="M1121" s="9">
        <f t="array" ref="M1121">QUARTILE(IF($F$3:$F$1460=$F1121,$H$3:$H$1460),3)</f>
        <v>1455.5</v>
      </c>
    </row>
    <row r="1122" spans="1:13" x14ac:dyDescent="0.25">
      <c r="A1122" s="7">
        <v>1163</v>
      </c>
      <c r="B1122" s="6" t="s">
        <v>97</v>
      </c>
      <c r="C1122" s="7">
        <v>5694910</v>
      </c>
      <c r="D1122" s="23" t="s">
        <v>1089</v>
      </c>
      <c r="E1122" s="6" t="s">
        <v>1090</v>
      </c>
      <c r="F1122" s="21" t="s">
        <v>62</v>
      </c>
      <c r="G1122" s="6" t="s">
        <v>1112</v>
      </c>
      <c r="H1122" s="22">
        <v>930</v>
      </c>
      <c r="I1122" s="9">
        <v>10</v>
      </c>
      <c r="J1122" s="22">
        <f t="shared" si="11"/>
        <v>9300</v>
      </c>
      <c r="K1122" s="9">
        <f t="array" ref="K1122">QUARTILE(IF($F$3:$F$1460=$F1122,$H$3:$H$1460),1)</f>
        <v>783.15</v>
      </c>
      <c r="L1122" s="9">
        <f t="array" ref="L1122">QUARTILE(IF($F$3:$F$1460=$F1122,$H$3:$H$1460),2)</f>
        <v>1196.3</v>
      </c>
      <c r="M1122" s="9">
        <f t="array" ref="M1122">QUARTILE(IF($F$3:$F$1460=$F1122,$H$3:$H$1460),3)</f>
        <v>1455.5</v>
      </c>
    </row>
    <row r="1123" spans="1:13" x14ac:dyDescent="0.25">
      <c r="A1123" s="7">
        <v>1164</v>
      </c>
      <c r="B1123" s="6" t="s">
        <v>97</v>
      </c>
      <c r="C1123" s="7">
        <v>5694910</v>
      </c>
      <c r="D1123" s="23" t="s">
        <v>1089</v>
      </c>
      <c r="E1123" s="6" t="s">
        <v>1090</v>
      </c>
      <c r="F1123" s="21" t="s">
        <v>62</v>
      </c>
      <c r="G1123" s="6" t="s">
        <v>1113</v>
      </c>
      <c r="H1123" s="22">
        <v>780</v>
      </c>
      <c r="I1123" s="9">
        <v>2</v>
      </c>
      <c r="J1123" s="22">
        <f t="shared" si="11"/>
        <v>1560</v>
      </c>
      <c r="K1123" s="9">
        <f t="array" ref="K1123">QUARTILE(IF($F$3:$F$1460=$F1123,$H$3:$H$1460),1)</f>
        <v>783.15</v>
      </c>
      <c r="L1123" s="9">
        <f t="array" ref="L1123">QUARTILE(IF($F$3:$F$1460=$F1123,$H$3:$H$1460),2)</f>
        <v>1196.3</v>
      </c>
      <c r="M1123" s="9">
        <f t="array" ref="M1123">QUARTILE(IF($F$3:$F$1460=$F1123,$H$3:$H$1460),3)</f>
        <v>1455.5</v>
      </c>
    </row>
    <row r="1124" spans="1:13" x14ac:dyDescent="0.25">
      <c r="A1124" s="7">
        <v>1165</v>
      </c>
      <c r="B1124" s="6" t="s">
        <v>97</v>
      </c>
      <c r="C1124" s="7">
        <v>5694910</v>
      </c>
      <c r="D1124" s="23" t="s">
        <v>1089</v>
      </c>
      <c r="E1124" s="6" t="s">
        <v>1090</v>
      </c>
      <c r="F1124" s="21" t="s">
        <v>62</v>
      </c>
      <c r="G1124" s="6" t="s">
        <v>1114</v>
      </c>
      <c r="H1124" s="22">
        <v>970</v>
      </c>
      <c r="I1124" s="9">
        <v>2</v>
      </c>
      <c r="J1124" s="22">
        <f t="shared" si="11"/>
        <v>1940</v>
      </c>
      <c r="K1124" s="9">
        <f t="array" ref="K1124">QUARTILE(IF($F$3:$F$1460=$F1124,$H$3:$H$1460),1)</f>
        <v>783.15</v>
      </c>
      <c r="L1124" s="9">
        <f t="array" ref="L1124">QUARTILE(IF($F$3:$F$1460=$F1124,$H$3:$H$1460),2)</f>
        <v>1196.3</v>
      </c>
      <c r="M1124" s="9">
        <f t="array" ref="M1124">QUARTILE(IF($F$3:$F$1460=$F1124,$H$3:$H$1460),3)</f>
        <v>1455.5</v>
      </c>
    </row>
    <row r="1125" spans="1:13" x14ac:dyDescent="0.25">
      <c r="A1125" s="7">
        <v>1166</v>
      </c>
      <c r="B1125" s="6" t="s">
        <v>97</v>
      </c>
      <c r="C1125" s="7">
        <v>5694910</v>
      </c>
      <c r="D1125" s="23" t="s">
        <v>1089</v>
      </c>
      <c r="E1125" s="6" t="s">
        <v>1090</v>
      </c>
      <c r="F1125" s="21" t="s">
        <v>62</v>
      </c>
      <c r="G1125" s="6" t="s">
        <v>1115</v>
      </c>
      <c r="H1125" s="22">
        <v>560</v>
      </c>
      <c r="I1125" s="9">
        <v>12</v>
      </c>
      <c r="J1125" s="22">
        <f t="shared" si="11"/>
        <v>6720</v>
      </c>
      <c r="K1125" s="9">
        <f t="array" ref="K1125">QUARTILE(IF($F$3:$F$1460=$F1125,$H$3:$H$1460),1)</f>
        <v>783.15</v>
      </c>
      <c r="L1125" s="9">
        <f t="array" ref="L1125">QUARTILE(IF($F$3:$F$1460=$F1125,$H$3:$H$1460),2)</f>
        <v>1196.3</v>
      </c>
      <c r="M1125" s="9">
        <f t="array" ref="M1125">QUARTILE(IF($F$3:$F$1460=$F1125,$H$3:$H$1460),3)</f>
        <v>1455.5</v>
      </c>
    </row>
    <row r="1126" spans="1:13" x14ac:dyDescent="0.25">
      <c r="A1126" s="7">
        <v>1167</v>
      </c>
      <c r="B1126" s="6" t="s">
        <v>97</v>
      </c>
      <c r="C1126" s="7">
        <v>5694910</v>
      </c>
      <c r="D1126" s="23" t="s">
        <v>1089</v>
      </c>
      <c r="E1126" s="6" t="s">
        <v>1090</v>
      </c>
      <c r="F1126" s="21" t="s">
        <v>50</v>
      </c>
      <c r="G1126" s="6" t="s">
        <v>1116</v>
      </c>
      <c r="H1126" s="22">
        <v>188</v>
      </c>
      <c r="I1126" s="9">
        <v>16</v>
      </c>
      <c r="J1126" s="22">
        <f t="shared" si="11"/>
        <v>3008</v>
      </c>
      <c r="K1126" s="9">
        <f t="array" ref="K1126">QUARTILE(IF($F$3:$F$1460=$F1126,$H$3:$H$1460),1)</f>
        <v>307.64999999999998</v>
      </c>
      <c r="L1126" s="9">
        <f t="array" ref="L1126">QUARTILE(IF($F$3:$F$1460=$F1126,$H$3:$H$1460),2)</f>
        <v>533.63</v>
      </c>
      <c r="M1126" s="9">
        <f t="array" ref="M1126">QUARTILE(IF($F$3:$F$1460=$F1126,$H$3:$H$1460),3)</f>
        <v>761.32</v>
      </c>
    </row>
    <row r="1127" spans="1:13" x14ac:dyDescent="0.25">
      <c r="A1127" s="7">
        <v>1168</v>
      </c>
      <c r="B1127" s="6" t="s">
        <v>97</v>
      </c>
      <c r="C1127" s="7">
        <v>5694910</v>
      </c>
      <c r="D1127" s="23" t="s">
        <v>1089</v>
      </c>
      <c r="E1127" s="6" t="s">
        <v>1090</v>
      </c>
      <c r="F1127" s="21" t="s">
        <v>50</v>
      </c>
      <c r="G1127" s="6" t="s">
        <v>1117</v>
      </c>
      <c r="H1127" s="22">
        <v>750</v>
      </c>
      <c r="I1127" s="9">
        <v>4</v>
      </c>
      <c r="J1127" s="22">
        <f t="shared" si="11"/>
        <v>3000</v>
      </c>
      <c r="K1127" s="9">
        <f t="array" ref="K1127">QUARTILE(IF($F$3:$F$1460=$F1127,$H$3:$H$1460),1)</f>
        <v>307.64999999999998</v>
      </c>
      <c r="L1127" s="9">
        <f t="array" ref="L1127">QUARTILE(IF($F$3:$F$1460=$F1127,$H$3:$H$1460),2)</f>
        <v>533.63</v>
      </c>
      <c r="M1127" s="9">
        <f t="array" ref="M1127">QUARTILE(IF($F$3:$F$1460=$F1127,$H$3:$H$1460),3)</f>
        <v>761.32</v>
      </c>
    </row>
    <row r="1128" spans="1:13" x14ac:dyDescent="0.25">
      <c r="A1128" s="7">
        <v>1169</v>
      </c>
      <c r="B1128" s="6" t="s">
        <v>97</v>
      </c>
      <c r="C1128" s="7">
        <v>5694910</v>
      </c>
      <c r="D1128" s="23" t="s">
        <v>1089</v>
      </c>
      <c r="E1128" s="6" t="s">
        <v>1090</v>
      </c>
      <c r="F1128" s="21" t="s">
        <v>50</v>
      </c>
      <c r="G1128" s="6" t="s">
        <v>1118</v>
      </c>
      <c r="H1128" s="22">
        <v>360</v>
      </c>
      <c r="I1128" s="9">
        <v>2</v>
      </c>
      <c r="J1128" s="22">
        <f t="shared" si="11"/>
        <v>720</v>
      </c>
      <c r="K1128" s="9">
        <f t="array" ref="K1128">QUARTILE(IF($F$3:$F$1460=$F1128,$H$3:$H$1460),1)</f>
        <v>307.64999999999998</v>
      </c>
      <c r="L1128" s="9">
        <f t="array" ref="L1128">QUARTILE(IF($F$3:$F$1460=$F1128,$H$3:$H$1460),2)</f>
        <v>533.63</v>
      </c>
      <c r="M1128" s="9">
        <f t="array" ref="M1128">QUARTILE(IF($F$3:$F$1460=$F1128,$H$3:$H$1460),3)</f>
        <v>761.32</v>
      </c>
    </row>
    <row r="1129" spans="1:13" x14ac:dyDescent="0.25">
      <c r="A1129" s="7">
        <v>1170</v>
      </c>
      <c r="B1129" s="6" t="s">
        <v>97</v>
      </c>
      <c r="C1129" s="7">
        <v>5694910</v>
      </c>
      <c r="D1129" s="23" t="s">
        <v>1089</v>
      </c>
      <c r="E1129" s="6" t="s">
        <v>1090</v>
      </c>
      <c r="F1129" s="21" t="s">
        <v>54</v>
      </c>
      <c r="G1129" s="45" t="s">
        <v>1119</v>
      </c>
      <c r="H1129" s="22">
        <v>1940</v>
      </c>
      <c r="I1129" s="9">
        <v>4</v>
      </c>
      <c r="J1129" s="22">
        <f t="shared" ref="J1129:J1192" si="12">I1129*H1129</f>
        <v>7760</v>
      </c>
      <c r="K1129" s="9">
        <f t="array" ref="K1129">QUARTILE(IF($F$3:$F$1460=$F1129,$H$3:$H$1460),1)</f>
        <v>393.94499999999999</v>
      </c>
      <c r="L1129" s="9">
        <f t="array" ref="L1129">QUARTILE(IF($F$3:$F$1460=$F1129,$H$3:$H$1460),2)</f>
        <v>710.01499999999999</v>
      </c>
      <c r="M1129" s="9">
        <f t="array" ref="M1129">QUARTILE(IF($F$3:$F$1460=$F1129,$H$3:$H$1460),3)</f>
        <v>2552.0574999999999</v>
      </c>
    </row>
    <row r="1130" spans="1:13" x14ac:dyDescent="0.25">
      <c r="A1130" s="7">
        <v>1171</v>
      </c>
      <c r="B1130" s="6" t="s">
        <v>97</v>
      </c>
      <c r="C1130" s="7">
        <v>5694910</v>
      </c>
      <c r="D1130" s="23" t="s">
        <v>1089</v>
      </c>
      <c r="E1130" s="6" t="s">
        <v>1090</v>
      </c>
      <c r="F1130" s="21" t="s">
        <v>46</v>
      </c>
      <c r="G1130" s="45" t="s">
        <v>169</v>
      </c>
      <c r="H1130" s="22">
        <v>160</v>
      </c>
      <c r="I1130" s="9">
        <v>12</v>
      </c>
      <c r="J1130" s="22">
        <f t="shared" si="12"/>
        <v>1920</v>
      </c>
      <c r="K1130" s="9">
        <f t="array" ref="K1130">QUARTILE(IF($F$3:$F$1460=$F1130,$H$3:$H$1460),1)</f>
        <v>229.78</v>
      </c>
      <c r="L1130" s="9">
        <f t="array" ref="L1130">QUARTILE(IF($F$3:$F$1460=$F1130,$H$3:$H$1460),2)</f>
        <v>424.2</v>
      </c>
      <c r="M1130" s="9">
        <f t="array" ref="M1130">QUARTILE(IF($F$3:$F$1460=$F1130,$H$3:$H$1460),3)</f>
        <v>1030.3</v>
      </c>
    </row>
    <row r="1131" spans="1:13" x14ac:dyDescent="0.25">
      <c r="A1131" s="7">
        <v>1172</v>
      </c>
      <c r="B1131" s="6" t="s">
        <v>97</v>
      </c>
      <c r="C1131" s="7">
        <v>5694910</v>
      </c>
      <c r="D1131" s="23" t="s">
        <v>1089</v>
      </c>
      <c r="E1131" s="6" t="s">
        <v>1090</v>
      </c>
      <c r="F1131" s="21" t="s">
        <v>54</v>
      </c>
      <c r="G1131" s="45" t="s">
        <v>1120</v>
      </c>
      <c r="H1131" s="22">
        <v>2120</v>
      </c>
      <c r="I1131" s="9">
        <v>1</v>
      </c>
      <c r="J1131" s="22">
        <f t="shared" si="12"/>
        <v>2120</v>
      </c>
      <c r="K1131" s="9">
        <f t="array" ref="K1131">QUARTILE(IF($F$3:$F$1460=$F1131,$H$3:$H$1460),1)</f>
        <v>393.94499999999999</v>
      </c>
      <c r="L1131" s="9">
        <f t="array" ref="L1131">QUARTILE(IF($F$3:$F$1460=$F1131,$H$3:$H$1460),2)</f>
        <v>710.01499999999999</v>
      </c>
      <c r="M1131" s="9">
        <f t="array" ref="M1131">QUARTILE(IF($F$3:$F$1460=$F1131,$H$3:$H$1460),3)</f>
        <v>2552.0574999999999</v>
      </c>
    </row>
    <row r="1132" spans="1:13" x14ac:dyDescent="0.25">
      <c r="A1132" s="7">
        <v>1173</v>
      </c>
      <c r="B1132" s="6" t="s">
        <v>97</v>
      </c>
      <c r="C1132" s="7">
        <v>5694910</v>
      </c>
      <c r="D1132" s="23" t="s">
        <v>1089</v>
      </c>
      <c r="E1132" s="6" t="s">
        <v>1090</v>
      </c>
      <c r="F1132" s="21" t="s">
        <v>54</v>
      </c>
      <c r="G1132" s="45" t="s">
        <v>1121</v>
      </c>
      <c r="H1132" s="22">
        <v>3150</v>
      </c>
      <c r="I1132" s="9">
        <v>1</v>
      </c>
      <c r="J1132" s="22">
        <f t="shared" si="12"/>
        <v>3150</v>
      </c>
      <c r="K1132" s="9">
        <f t="array" ref="K1132">QUARTILE(IF($F$3:$F$1460=$F1132,$H$3:$H$1460),1)</f>
        <v>393.94499999999999</v>
      </c>
      <c r="L1132" s="9">
        <f t="array" ref="L1132">QUARTILE(IF($F$3:$F$1460=$F1132,$H$3:$H$1460),2)</f>
        <v>710.01499999999999</v>
      </c>
      <c r="M1132" s="9">
        <f t="array" ref="M1132">QUARTILE(IF($F$3:$F$1460=$F1132,$H$3:$H$1460),3)</f>
        <v>2552.0574999999999</v>
      </c>
    </row>
    <row r="1133" spans="1:13" x14ac:dyDescent="0.25">
      <c r="A1133" s="7">
        <v>1174</v>
      </c>
      <c r="B1133" s="6" t="s">
        <v>97</v>
      </c>
      <c r="C1133" s="7">
        <v>5694910</v>
      </c>
      <c r="D1133" s="23" t="s">
        <v>1089</v>
      </c>
      <c r="E1133" s="6" t="s">
        <v>1090</v>
      </c>
      <c r="F1133" s="21" t="s">
        <v>54</v>
      </c>
      <c r="G1133" s="45" t="s">
        <v>1122</v>
      </c>
      <c r="H1133" s="22">
        <v>294</v>
      </c>
      <c r="I1133" s="9">
        <v>13</v>
      </c>
      <c r="J1133" s="22">
        <f t="shared" si="12"/>
        <v>3822</v>
      </c>
      <c r="K1133" s="9">
        <f t="array" ref="K1133">QUARTILE(IF($F$3:$F$1460=$F1133,$H$3:$H$1460),1)</f>
        <v>393.94499999999999</v>
      </c>
      <c r="L1133" s="9">
        <f t="array" ref="L1133">QUARTILE(IF($F$3:$F$1460=$F1133,$H$3:$H$1460),2)</f>
        <v>710.01499999999999</v>
      </c>
      <c r="M1133" s="9">
        <f t="array" ref="M1133">QUARTILE(IF($F$3:$F$1460=$F1133,$H$3:$H$1460),3)</f>
        <v>2552.0574999999999</v>
      </c>
    </row>
    <row r="1134" spans="1:13" x14ac:dyDescent="0.25">
      <c r="A1134" s="7">
        <v>1175</v>
      </c>
      <c r="B1134" s="6" t="s">
        <v>97</v>
      </c>
      <c r="C1134" s="7">
        <v>5694910</v>
      </c>
      <c r="D1134" s="23" t="s">
        <v>1089</v>
      </c>
      <c r="E1134" s="6" t="s">
        <v>1090</v>
      </c>
      <c r="F1134" s="21" t="s">
        <v>54</v>
      </c>
      <c r="G1134" s="45" t="s">
        <v>1123</v>
      </c>
      <c r="H1134" s="22">
        <v>310</v>
      </c>
      <c r="I1134" s="9">
        <v>6</v>
      </c>
      <c r="J1134" s="22">
        <f t="shared" si="12"/>
        <v>1860</v>
      </c>
      <c r="K1134" s="9">
        <f t="array" ref="K1134">QUARTILE(IF($F$3:$F$1460=$F1134,$H$3:$H$1460),1)</f>
        <v>393.94499999999999</v>
      </c>
      <c r="L1134" s="9">
        <f t="array" ref="L1134">QUARTILE(IF($F$3:$F$1460=$F1134,$H$3:$H$1460),2)</f>
        <v>710.01499999999999</v>
      </c>
      <c r="M1134" s="9">
        <f t="array" ref="M1134">QUARTILE(IF($F$3:$F$1460=$F1134,$H$3:$H$1460),3)</f>
        <v>2552.0574999999999</v>
      </c>
    </row>
    <row r="1135" spans="1:13" x14ac:dyDescent="0.25">
      <c r="A1135" s="7">
        <v>1176</v>
      </c>
      <c r="B1135" s="6" t="s">
        <v>97</v>
      </c>
      <c r="C1135" s="7">
        <v>5694910</v>
      </c>
      <c r="D1135" s="23" t="s">
        <v>1089</v>
      </c>
      <c r="E1135" s="6" t="s">
        <v>1090</v>
      </c>
      <c r="F1135" s="21" t="s">
        <v>54</v>
      </c>
      <c r="G1135" s="45" t="s">
        <v>1124</v>
      </c>
      <c r="H1135" s="22">
        <v>220</v>
      </c>
      <c r="I1135" s="9">
        <v>12</v>
      </c>
      <c r="J1135" s="22">
        <f t="shared" si="12"/>
        <v>2640</v>
      </c>
      <c r="K1135" s="9">
        <f t="array" ref="K1135">QUARTILE(IF($F$3:$F$1460=$F1135,$H$3:$H$1460),1)</f>
        <v>393.94499999999999</v>
      </c>
      <c r="L1135" s="9">
        <f t="array" ref="L1135">QUARTILE(IF($F$3:$F$1460=$F1135,$H$3:$H$1460),2)</f>
        <v>710.01499999999999</v>
      </c>
      <c r="M1135" s="9">
        <f t="array" ref="M1135">QUARTILE(IF($F$3:$F$1460=$F1135,$H$3:$H$1460),3)</f>
        <v>2552.0574999999999</v>
      </c>
    </row>
    <row r="1136" spans="1:13" x14ac:dyDescent="0.25">
      <c r="A1136" s="7">
        <v>1177</v>
      </c>
      <c r="B1136" s="6" t="s">
        <v>97</v>
      </c>
      <c r="C1136" s="7">
        <v>5694910</v>
      </c>
      <c r="D1136" s="23" t="s">
        <v>1089</v>
      </c>
      <c r="E1136" s="6" t="s">
        <v>1090</v>
      </c>
      <c r="F1136" s="21" t="s">
        <v>61</v>
      </c>
      <c r="G1136" s="45" t="s">
        <v>1125</v>
      </c>
      <c r="H1136" s="22">
        <v>598</v>
      </c>
      <c r="I1136" s="9">
        <v>22</v>
      </c>
      <c r="J1136" s="22">
        <f t="shared" si="12"/>
        <v>13156</v>
      </c>
      <c r="K1136" s="9">
        <f t="array" ref="K1136">QUARTILE(IF($F$3:$F$1460=$F1136,$H$3:$H$1460),1)</f>
        <v>709.95</v>
      </c>
      <c r="L1136" s="9">
        <f t="array" ref="L1136">QUARTILE(IF($F$3:$F$1460=$F1136,$H$3:$H$1460),2)</f>
        <v>1000</v>
      </c>
      <c r="M1136" s="9">
        <f t="array" ref="M1136">QUARTILE(IF($F$3:$F$1460=$F1136,$H$3:$H$1460),3)</f>
        <v>5171.4583333333339</v>
      </c>
    </row>
    <row r="1137" spans="1:13" ht="18" customHeight="1" x14ac:dyDescent="0.25">
      <c r="A1137" s="7">
        <v>1178</v>
      </c>
      <c r="B1137" s="6" t="s">
        <v>97</v>
      </c>
      <c r="C1137" s="7">
        <v>5694910</v>
      </c>
      <c r="D1137" s="23" t="s">
        <v>1089</v>
      </c>
      <c r="E1137" s="6" t="s">
        <v>1090</v>
      </c>
      <c r="F1137" s="21" t="s">
        <v>61</v>
      </c>
      <c r="G1137" s="45" t="s">
        <v>1126</v>
      </c>
      <c r="H1137" s="22">
        <v>699</v>
      </c>
      <c r="I1137" s="9">
        <v>4</v>
      </c>
      <c r="J1137" s="22">
        <f t="shared" si="12"/>
        <v>2796</v>
      </c>
      <c r="K1137" s="9">
        <f t="array" ref="K1137">QUARTILE(IF($F$3:$F$1460=$F1137,$H$3:$H$1460),1)</f>
        <v>709.95</v>
      </c>
      <c r="L1137" s="9">
        <f t="array" ref="L1137">QUARTILE(IF($F$3:$F$1460=$F1137,$H$3:$H$1460),2)</f>
        <v>1000</v>
      </c>
      <c r="M1137" s="9">
        <f t="array" ref="M1137">QUARTILE(IF($F$3:$F$1460=$F1137,$H$3:$H$1460),3)</f>
        <v>5171.4583333333339</v>
      </c>
    </row>
    <row r="1138" spans="1:13" x14ac:dyDescent="0.25">
      <c r="A1138" s="7">
        <v>1179</v>
      </c>
      <c r="B1138" s="6" t="s">
        <v>97</v>
      </c>
      <c r="C1138" s="7">
        <v>5694910</v>
      </c>
      <c r="D1138" s="23" t="s">
        <v>1089</v>
      </c>
      <c r="E1138" s="6" t="s">
        <v>1090</v>
      </c>
      <c r="F1138" s="21" t="s">
        <v>61</v>
      </c>
      <c r="G1138" s="45" t="s">
        <v>1127</v>
      </c>
      <c r="H1138" s="22">
        <v>510</v>
      </c>
      <c r="I1138" s="9">
        <v>5</v>
      </c>
      <c r="J1138" s="22">
        <f t="shared" si="12"/>
        <v>2550</v>
      </c>
      <c r="K1138" s="9">
        <f t="array" ref="K1138">QUARTILE(IF($F$3:$F$1460=$F1138,$H$3:$H$1460),1)</f>
        <v>709.95</v>
      </c>
      <c r="L1138" s="9">
        <f t="array" ref="L1138">QUARTILE(IF($F$3:$F$1460=$F1138,$H$3:$H$1460),2)</f>
        <v>1000</v>
      </c>
      <c r="M1138" s="9">
        <f t="array" ref="M1138">QUARTILE(IF($F$3:$F$1460=$F1138,$H$3:$H$1460),3)</f>
        <v>5171.4583333333339</v>
      </c>
    </row>
    <row r="1139" spans="1:13" x14ac:dyDescent="0.25">
      <c r="A1139" s="7">
        <v>1180</v>
      </c>
      <c r="B1139" s="6" t="s">
        <v>97</v>
      </c>
      <c r="C1139" s="7">
        <v>5694910</v>
      </c>
      <c r="D1139" s="23" t="s">
        <v>1089</v>
      </c>
      <c r="E1139" s="6" t="s">
        <v>1090</v>
      </c>
      <c r="F1139" s="21" t="s">
        <v>61</v>
      </c>
      <c r="G1139" s="45" t="s">
        <v>1128</v>
      </c>
      <c r="H1139" s="22">
        <v>540</v>
      </c>
      <c r="I1139" s="9">
        <v>3</v>
      </c>
      <c r="J1139" s="22">
        <f t="shared" si="12"/>
        <v>1620</v>
      </c>
      <c r="K1139" s="9">
        <f t="array" ref="K1139">QUARTILE(IF($F$3:$F$1460=$F1139,$H$3:$H$1460),1)</f>
        <v>709.95</v>
      </c>
      <c r="L1139" s="9">
        <f t="array" ref="L1139">QUARTILE(IF($F$3:$F$1460=$F1139,$H$3:$H$1460),2)</f>
        <v>1000</v>
      </c>
      <c r="M1139" s="9">
        <f t="array" ref="M1139">QUARTILE(IF($F$3:$F$1460=$F1139,$H$3:$H$1460),3)</f>
        <v>5171.4583333333339</v>
      </c>
    </row>
    <row r="1140" spans="1:13" x14ac:dyDescent="0.25">
      <c r="A1140" s="7">
        <v>1181</v>
      </c>
      <c r="B1140" s="6" t="s">
        <v>97</v>
      </c>
      <c r="C1140" s="7">
        <v>5694910</v>
      </c>
      <c r="D1140" s="23" t="s">
        <v>1089</v>
      </c>
      <c r="E1140" s="6" t="s">
        <v>1090</v>
      </c>
      <c r="F1140" s="21" t="s">
        <v>580</v>
      </c>
      <c r="G1140" s="6" t="s">
        <v>1129</v>
      </c>
      <c r="H1140" s="22">
        <v>198</v>
      </c>
      <c r="I1140" s="9">
        <v>6</v>
      </c>
      <c r="J1140" s="22">
        <f t="shared" si="12"/>
        <v>1188</v>
      </c>
      <c r="K1140" s="9">
        <f t="array" ref="K1140">QUARTILE(IF($F$3:$F$1460=$F1140,$H$3:$H$1460),1)</f>
        <v>1759.125</v>
      </c>
      <c r="L1140" s="9">
        <f t="array" ref="L1140">QUARTILE(IF($F$3:$F$1460=$F1140,$H$3:$H$1460),2)</f>
        <v>3923.7249999999999</v>
      </c>
      <c r="M1140" s="9">
        <f t="array" ref="M1140">QUARTILE(IF($F$3:$F$1460=$F1140,$H$3:$H$1460),3)</f>
        <v>12062.504999999999</v>
      </c>
    </row>
    <row r="1141" spans="1:13" x14ac:dyDescent="0.25">
      <c r="A1141" s="7">
        <v>1182</v>
      </c>
      <c r="B1141" s="6" t="s">
        <v>97</v>
      </c>
      <c r="C1141" s="7">
        <v>5694910</v>
      </c>
      <c r="D1141" s="23" t="s">
        <v>1089</v>
      </c>
      <c r="E1141" s="6" t="s">
        <v>1090</v>
      </c>
      <c r="F1141" s="21" t="s">
        <v>580</v>
      </c>
      <c r="G1141" s="6" t="s">
        <v>1130</v>
      </c>
      <c r="H1141" s="22">
        <v>4220</v>
      </c>
      <c r="I1141" s="9">
        <v>3</v>
      </c>
      <c r="J1141" s="22">
        <f t="shared" si="12"/>
        <v>12660</v>
      </c>
      <c r="K1141" s="9">
        <f t="array" ref="K1141">QUARTILE(IF($F$3:$F$1460=$F1141,$H$3:$H$1460),1)</f>
        <v>1759.125</v>
      </c>
      <c r="L1141" s="9">
        <f t="array" ref="L1141">QUARTILE(IF($F$3:$F$1460=$F1141,$H$3:$H$1460),2)</f>
        <v>3923.7249999999999</v>
      </c>
      <c r="M1141" s="9">
        <f t="array" ref="M1141">QUARTILE(IF($F$3:$F$1460=$F1141,$H$3:$H$1460),3)</f>
        <v>12062.504999999999</v>
      </c>
    </row>
    <row r="1142" spans="1:13" x14ac:dyDescent="0.25">
      <c r="A1142" s="7">
        <v>1183</v>
      </c>
      <c r="B1142" s="6" t="s">
        <v>97</v>
      </c>
      <c r="C1142" s="7">
        <v>5694910</v>
      </c>
      <c r="D1142" s="23" t="s">
        <v>1089</v>
      </c>
      <c r="E1142" s="6" t="s">
        <v>1090</v>
      </c>
      <c r="F1142" s="21" t="s">
        <v>580</v>
      </c>
      <c r="G1142" s="6" t="s">
        <v>1131</v>
      </c>
      <c r="H1142" s="22">
        <v>915</v>
      </c>
      <c r="I1142" s="9">
        <v>8</v>
      </c>
      <c r="J1142" s="22">
        <f t="shared" si="12"/>
        <v>7320</v>
      </c>
      <c r="K1142" s="9">
        <f t="array" ref="K1142">QUARTILE(IF($F$3:$F$1460=$F1142,$H$3:$H$1460),1)</f>
        <v>1759.125</v>
      </c>
      <c r="L1142" s="9">
        <f t="array" ref="L1142">QUARTILE(IF($F$3:$F$1460=$F1142,$H$3:$H$1460),2)</f>
        <v>3923.7249999999999</v>
      </c>
      <c r="M1142" s="9">
        <f t="array" ref="M1142">QUARTILE(IF($F$3:$F$1460=$F1142,$H$3:$H$1460),3)</f>
        <v>12062.504999999999</v>
      </c>
    </row>
    <row r="1143" spans="1:13" x14ac:dyDescent="0.25">
      <c r="A1143" s="7">
        <v>1184</v>
      </c>
      <c r="B1143" s="6" t="s">
        <v>97</v>
      </c>
      <c r="C1143" s="7">
        <v>5694910</v>
      </c>
      <c r="D1143" s="23" t="s">
        <v>1089</v>
      </c>
      <c r="E1143" s="6" t="s">
        <v>1090</v>
      </c>
      <c r="F1143" s="21" t="s">
        <v>580</v>
      </c>
      <c r="G1143" s="6" t="s">
        <v>1132</v>
      </c>
      <c r="H1143" s="22">
        <v>2750</v>
      </c>
      <c r="I1143" s="9">
        <v>1</v>
      </c>
      <c r="J1143" s="22">
        <f t="shared" si="12"/>
        <v>2750</v>
      </c>
      <c r="K1143" s="9">
        <f t="array" ref="K1143">QUARTILE(IF($F$3:$F$1460=$F1143,$H$3:$H$1460),1)</f>
        <v>1759.125</v>
      </c>
      <c r="L1143" s="9">
        <f t="array" ref="L1143">QUARTILE(IF($F$3:$F$1460=$F1143,$H$3:$H$1460),2)</f>
        <v>3923.7249999999999</v>
      </c>
      <c r="M1143" s="9">
        <f t="array" ref="M1143">QUARTILE(IF($F$3:$F$1460=$F1143,$H$3:$H$1460),3)</f>
        <v>12062.504999999999</v>
      </c>
    </row>
    <row r="1144" spans="1:13" x14ac:dyDescent="0.25">
      <c r="A1144" s="7">
        <v>1185</v>
      </c>
      <c r="B1144" s="6" t="s">
        <v>97</v>
      </c>
      <c r="C1144" s="7">
        <v>5694910</v>
      </c>
      <c r="D1144" s="23" t="s">
        <v>1089</v>
      </c>
      <c r="E1144" s="6" t="s">
        <v>1090</v>
      </c>
      <c r="F1144" s="21" t="s">
        <v>580</v>
      </c>
      <c r="G1144" s="6" t="s">
        <v>1133</v>
      </c>
      <c r="H1144" s="22">
        <v>3950</v>
      </c>
      <c r="I1144" s="9">
        <v>1</v>
      </c>
      <c r="J1144" s="22">
        <f t="shared" si="12"/>
        <v>3950</v>
      </c>
      <c r="K1144" s="9">
        <f t="array" ref="K1144">QUARTILE(IF($F$3:$F$1460=$F1144,$H$3:$H$1460),1)</f>
        <v>1759.125</v>
      </c>
      <c r="L1144" s="9">
        <f t="array" ref="L1144">QUARTILE(IF($F$3:$F$1460=$F1144,$H$3:$H$1460),2)</f>
        <v>3923.7249999999999</v>
      </c>
      <c r="M1144" s="9">
        <f t="array" ref="M1144">QUARTILE(IF($F$3:$F$1460=$F1144,$H$3:$H$1460),3)</f>
        <v>12062.504999999999</v>
      </c>
    </row>
    <row r="1145" spans="1:13" x14ac:dyDescent="0.25">
      <c r="A1145" s="7">
        <v>1186</v>
      </c>
      <c r="B1145" s="6" t="s">
        <v>97</v>
      </c>
      <c r="C1145" s="7">
        <v>5694910</v>
      </c>
      <c r="D1145" s="23" t="s">
        <v>1089</v>
      </c>
      <c r="E1145" s="6" t="s">
        <v>1090</v>
      </c>
      <c r="F1145" s="21" t="s">
        <v>580</v>
      </c>
      <c r="G1145" s="6" t="s">
        <v>1134</v>
      </c>
      <c r="H1145" s="22">
        <v>3450</v>
      </c>
      <c r="I1145" s="9">
        <v>1</v>
      </c>
      <c r="J1145" s="22">
        <f t="shared" si="12"/>
        <v>3450</v>
      </c>
      <c r="K1145" s="9">
        <f t="array" ref="K1145">QUARTILE(IF($F$3:$F$1460=$F1145,$H$3:$H$1460),1)</f>
        <v>1759.125</v>
      </c>
      <c r="L1145" s="9">
        <f t="array" ref="L1145">QUARTILE(IF($F$3:$F$1460=$F1145,$H$3:$H$1460),2)</f>
        <v>3923.7249999999999</v>
      </c>
      <c r="M1145" s="9">
        <f t="array" ref="M1145">QUARTILE(IF($F$3:$F$1460=$F1145,$H$3:$H$1460),3)</f>
        <v>12062.504999999999</v>
      </c>
    </row>
    <row r="1146" spans="1:13" x14ac:dyDescent="0.25">
      <c r="A1146" s="7">
        <v>1187</v>
      </c>
      <c r="B1146" s="6" t="s">
        <v>97</v>
      </c>
      <c r="C1146" s="7">
        <v>5694910</v>
      </c>
      <c r="D1146" s="23" t="s">
        <v>1089</v>
      </c>
      <c r="E1146" s="6" t="s">
        <v>1090</v>
      </c>
      <c r="F1146" s="21" t="s">
        <v>580</v>
      </c>
      <c r="G1146" s="6" t="s">
        <v>1135</v>
      </c>
      <c r="H1146" s="22">
        <v>4980</v>
      </c>
      <c r="I1146" s="9">
        <v>1</v>
      </c>
      <c r="J1146" s="22">
        <f t="shared" si="12"/>
        <v>4980</v>
      </c>
      <c r="K1146" s="9">
        <f t="array" ref="K1146">QUARTILE(IF($F$3:$F$1460=$F1146,$H$3:$H$1460),1)</f>
        <v>1759.125</v>
      </c>
      <c r="L1146" s="9">
        <f t="array" ref="L1146">QUARTILE(IF($F$3:$F$1460=$F1146,$H$3:$H$1460),2)</f>
        <v>3923.7249999999999</v>
      </c>
      <c r="M1146" s="9">
        <f t="array" ref="M1146">QUARTILE(IF($F$3:$F$1460=$F1146,$H$3:$H$1460),3)</f>
        <v>12062.504999999999</v>
      </c>
    </row>
    <row r="1147" spans="1:13" x14ac:dyDescent="0.25">
      <c r="A1147" s="7">
        <v>1188</v>
      </c>
      <c r="B1147" s="6" t="s">
        <v>97</v>
      </c>
      <c r="C1147" s="7">
        <v>5694910</v>
      </c>
      <c r="D1147" s="23" t="s">
        <v>1089</v>
      </c>
      <c r="E1147" s="6" t="s">
        <v>1090</v>
      </c>
      <c r="F1147" s="21" t="s">
        <v>36</v>
      </c>
      <c r="G1147" s="6" t="s">
        <v>1136</v>
      </c>
      <c r="H1147" s="22">
        <v>135</v>
      </c>
      <c r="I1147" s="9">
        <v>61</v>
      </c>
      <c r="J1147" s="22">
        <f t="shared" si="12"/>
        <v>8235</v>
      </c>
      <c r="K1147" s="9">
        <f t="array" ref="K1147">QUARTILE(IF($F$3:$F$1460=$F1147,$H$3:$H$1460),1)</f>
        <v>88.21</v>
      </c>
      <c r="L1147" s="9">
        <f t="array" ref="L1147">QUARTILE(IF($F$3:$F$1460=$F1147,$H$3:$H$1460),2)</f>
        <v>134.57</v>
      </c>
      <c r="M1147" s="9">
        <f t="array" ref="M1147">QUARTILE(IF($F$3:$F$1460=$F1147,$H$3:$H$1460),3)</f>
        <v>252.7</v>
      </c>
    </row>
    <row r="1148" spans="1:13" x14ac:dyDescent="0.25">
      <c r="A1148" s="7">
        <v>1189</v>
      </c>
      <c r="B1148" s="6" t="s">
        <v>97</v>
      </c>
      <c r="C1148" s="7">
        <v>5694910</v>
      </c>
      <c r="D1148" s="23" t="s">
        <v>1089</v>
      </c>
      <c r="E1148" s="6" t="s">
        <v>1090</v>
      </c>
      <c r="F1148" s="21" t="s">
        <v>36</v>
      </c>
      <c r="G1148" s="6" t="s">
        <v>1137</v>
      </c>
      <c r="H1148" s="22">
        <v>140</v>
      </c>
      <c r="I1148" s="9">
        <v>5</v>
      </c>
      <c r="J1148" s="22">
        <f t="shared" si="12"/>
        <v>700</v>
      </c>
      <c r="K1148" s="9">
        <f t="array" ref="K1148">QUARTILE(IF($F$3:$F$1460=$F1148,$H$3:$H$1460),1)</f>
        <v>88.21</v>
      </c>
      <c r="L1148" s="9">
        <f t="array" ref="L1148">QUARTILE(IF($F$3:$F$1460=$F1148,$H$3:$H$1460),2)</f>
        <v>134.57</v>
      </c>
      <c r="M1148" s="9">
        <f t="array" ref="M1148">QUARTILE(IF($F$3:$F$1460=$F1148,$H$3:$H$1460),3)</f>
        <v>252.7</v>
      </c>
    </row>
    <row r="1149" spans="1:13" x14ac:dyDescent="0.25">
      <c r="A1149" s="7">
        <v>1190</v>
      </c>
      <c r="B1149" s="6" t="s">
        <v>97</v>
      </c>
      <c r="C1149" s="7">
        <v>5694910</v>
      </c>
      <c r="D1149" s="23" t="s">
        <v>1089</v>
      </c>
      <c r="E1149" s="6" t="s">
        <v>1090</v>
      </c>
      <c r="F1149" s="21" t="s">
        <v>36</v>
      </c>
      <c r="G1149" s="6" t="s">
        <v>1138</v>
      </c>
      <c r="H1149" s="22">
        <v>255</v>
      </c>
      <c r="I1149" s="9">
        <v>14</v>
      </c>
      <c r="J1149" s="22">
        <f t="shared" si="12"/>
        <v>3570</v>
      </c>
      <c r="K1149" s="9">
        <f t="array" ref="K1149">QUARTILE(IF($F$3:$F$1460=$F1149,$H$3:$H$1460),1)</f>
        <v>88.21</v>
      </c>
      <c r="L1149" s="9">
        <f t="array" ref="L1149">QUARTILE(IF($F$3:$F$1460=$F1149,$H$3:$H$1460),2)</f>
        <v>134.57</v>
      </c>
      <c r="M1149" s="9">
        <f t="array" ref="M1149">QUARTILE(IF($F$3:$F$1460=$F1149,$H$3:$H$1460),3)</f>
        <v>252.7</v>
      </c>
    </row>
    <row r="1150" spans="1:13" x14ac:dyDescent="0.25">
      <c r="A1150" s="7">
        <v>1191</v>
      </c>
      <c r="B1150" s="6" t="s">
        <v>97</v>
      </c>
      <c r="C1150" s="7">
        <v>4365968</v>
      </c>
      <c r="D1150" s="23" t="s">
        <v>1139</v>
      </c>
      <c r="E1150" s="6" t="s">
        <v>1140</v>
      </c>
      <c r="F1150" s="21" t="s">
        <v>75</v>
      </c>
      <c r="G1150" s="45" t="s">
        <v>1141</v>
      </c>
      <c r="H1150" s="22">
        <v>130262.22</v>
      </c>
      <c r="I1150" s="9">
        <v>2</v>
      </c>
      <c r="J1150" s="22">
        <f t="shared" si="12"/>
        <v>260524.44</v>
      </c>
      <c r="K1150" s="9">
        <f t="array" ref="K1150">QUARTILE(IF($F$3:$F$1460=$F1150,$H$3:$H$1460),1)</f>
        <v>7209.15</v>
      </c>
      <c r="L1150" s="9">
        <f t="array" ref="L1150">QUARTILE(IF($F$3:$F$1460=$F1150,$H$3:$H$1460),2)</f>
        <v>15534.78</v>
      </c>
      <c r="M1150" s="9">
        <f t="array" ref="M1150">QUARTILE(IF($F$3:$F$1460=$F1150,$H$3:$H$1460),3)</f>
        <v>29950.799999999999</v>
      </c>
    </row>
    <row r="1151" spans="1:13" x14ac:dyDescent="0.25">
      <c r="A1151" s="7">
        <v>1192</v>
      </c>
      <c r="B1151" s="6" t="s">
        <v>97</v>
      </c>
      <c r="C1151" s="7">
        <v>4365968</v>
      </c>
      <c r="D1151" s="23" t="s">
        <v>1139</v>
      </c>
      <c r="E1151" s="6" t="s">
        <v>1140</v>
      </c>
      <c r="F1151" s="21" t="s">
        <v>75</v>
      </c>
      <c r="G1151" s="45" t="s">
        <v>1142</v>
      </c>
      <c r="H1151" s="22">
        <v>19757.53</v>
      </c>
      <c r="I1151" s="9">
        <v>4</v>
      </c>
      <c r="J1151" s="22">
        <f t="shared" si="12"/>
        <v>79030.12</v>
      </c>
      <c r="K1151" s="9">
        <f t="array" ref="K1151">QUARTILE(IF($F$3:$F$1460=$F1151,$H$3:$H$1460),1)</f>
        <v>7209.15</v>
      </c>
      <c r="L1151" s="9">
        <f t="array" ref="L1151">QUARTILE(IF($F$3:$F$1460=$F1151,$H$3:$H$1460),2)</f>
        <v>15534.78</v>
      </c>
      <c r="M1151" s="9">
        <f t="array" ref="M1151">QUARTILE(IF($F$3:$F$1460=$F1151,$H$3:$H$1460),3)</f>
        <v>29950.799999999999</v>
      </c>
    </row>
    <row r="1152" spans="1:13" x14ac:dyDescent="0.25">
      <c r="A1152" s="7">
        <v>1193</v>
      </c>
      <c r="B1152" s="6" t="s">
        <v>97</v>
      </c>
      <c r="C1152" s="7">
        <v>4365968</v>
      </c>
      <c r="D1152" s="23" t="s">
        <v>1139</v>
      </c>
      <c r="E1152" s="6" t="s">
        <v>1140</v>
      </c>
      <c r="F1152" s="21" t="s">
        <v>75</v>
      </c>
      <c r="G1152" s="45" t="s">
        <v>1143</v>
      </c>
      <c r="H1152" s="22">
        <v>26015.94</v>
      </c>
      <c r="I1152" s="9">
        <v>5</v>
      </c>
      <c r="J1152" s="22">
        <f t="shared" si="12"/>
        <v>130079.7</v>
      </c>
      <c r="K1152" s="9">
        <f t="array" ref="K1152">QUARTILE(IF($F$3:$F$1460=$F1152,$H$3:$H$1460),1)</f>
        <v>7209.15</v>
      </c>
      <c r="L1152" s="9">
        <f t="array" ref="L1152">QUARTILE(IF($F$3:$F$1460=$F1152,$H$3:$H$1460),2)</f>
        <v>15534.78</v>
      </c>
      <c r="M1152" s="9">
        <f t="array" ref="M1152">QUARTILE(IF($F$3:$F$1460=$F1152,$H$3:$H$1460),3)</f>
        <v>29950.799999999999</v>
      </c>
    </row>
    <row r="1153" spans="1:13" x14ac:dyDescent="0.25">
      <c r="A1153" s="7">
        <v>1194</v>
      </c>
      <c r="B1153" s="6" t="s">
        <v>97</v>
      </c>
      <c r="C1153" s="7">
        <v>4365968</v>
      </c>
      <c r="D1153" s="23" t="s">
        <v>1139</v>
      </c>
      <c r="E1153" s="6" t="s">
        <v>1140</v>
      </c>
      <c r="F1153" s="21" t="s">
        <v>75</v>
      </c>
      <c r="G1153" s="45" t="s">
        <v>1144</v>
      </c>
      <c r="H1153" s="22">
        <v>37812.949999999997</v>
      </c>
      <c r="I1153" s="9">
        <v>5</v>
      </c>
      <c r="J1153" s="22">
        <f t="shared" si="12"/>
        <v>189064.75</v>
      </c>
      <c r="K1153" s="9">
        <f t="array" ref="K1153">QUARTILE(IF($F$3:$F$1460=$F1153,$H$3:$H$1460),1)</f>
        <v>7209.15</v>
      </c>
      <c r="L1153" s="9">
        <f t="array" ref="L1153">QUARTILE(IF($F$3:$F$1460=$F1153,$H$3:$H$1460),2)</f>
        <v>15534.78</v>
      </c>
      <c r="M1153" s="9">
        <f t="array" ref="M1153">QUARTILE(IF($F$3:$F$1460=$F1153,$H$3:$H$1460),3)</f>
        <v>29950.799999999999</v>
      </c>
    </row>
    <row r="1154" spans="1:13" x14ac:dyDescent="0.25">
      <c r="A1154" s="7">
        <v>1195</v>
      </c>
      <c r="B1154" s="6" t="s">
        <v>97</v>
      </c>
      <c r="C1154" s="7">
        <v>4365968</v>
      </c>
      <c r="D1154" s="23" t="s">
        <v>1139</v>
      </c>
      <c r="E1154" s="6" t="s">
        <v>1140</v>
      </c>
      <c r="F1154" s="21" t="s">
        <v>75</v>
      </c>
      <c r="G1154" s="45" t="s">
        <v>1145</v>
      </c>
      <c r="H1154" s="22">
        <v>63070.65</v>
      </c>
      <c r="I1154" s="9">
        <v>2</v>
      </c>
      <c r="J1154" s="22">
        <f t="shared" si="12"/>
        <v>126141.3</v>
      </c>
      <c r="K1154" s="9">
        <f t="array" ref="K1154">QUARTILE(IF($F$3:$F$1460=$F1154,$H$3:$H$1460),1)</f>
        <v>7209.15</v>
      </c>
      <c r="L1154" s="9">
        <f t="array" ref="L1154">QUARTILE(IF($F$3:$F$1460=$F1154,$H$3:$H$1460),2)</f>
        <v>15534.78</v>
      </c>
      <c r="M1154" s="9">
        <f t="array" ref="M1154">QUARTILE(IF($F$3:$F$1460=$F1154,$H$3:$H$1460),3)</f>
        <v>29950.799999999999</v>
      </c>
    </row>
    <row r="1155" spans="1:13" x14ac:dyDescent="0.25">
      <c r="A1155" s="7">
        <v>1196</v>
      </c>
      <c r="B1155" s="6" t="s">
        <v>97</v>
      </c>
      <c r="C1155" s="7">
        <v>4365968</v>
      </c>
      <c r="D1155" s="23" t="s">
        <v>1139</v>
      </c>
      <c r="E1155" s="6" t="s">
        <v>1140</v>
      </c>
      <c r="F1155" s="21" t="s">
        <v>17</v>
      </c>
      <c r="G1155" s="6" t="s">
        <v>1146</v>
      </c>
      <c r="H1155" s="22">
        <v>99465.48</v>
      </c>
      <c r="I1155" s="9">
        <v>2</v>
      </c>
      <c r="J1155" s="22">
        <f t="shared" si="12"/>
        <v>198930.96</v>
      </c>
      <c r="K1155" s="9">
        <f t="array" ref="K1155">QUARTILE(IF($F$3:$F$1460=$F1155,$H$3:$H$1460),1)</f>
        <v>17.549999999999997</v>
      </c>
      <c r="L1155" s="9">
        <f t="array" ref="L1155">QUARTILE(IF($F$3:$F$1460=$F1155,$H$3:$H$1460),2)</f>
        <v>275.8</v>
      </c>
      <c r="M1155" s="9">
        <f t="array" ref="M1155">QUARTILE(IF($F$3:$F$1460=$F1155,$H$3:$H$1460),3)</f>
        <v>11191.057499999999</v>
      </c>
    </row>
    <row r="1156" spans="1:13" x14ac:dyDescent="0.25">
      <c r="A1156" s="7">
        <v>1197</v>
      </c>
      <c r="B1156" s="6" t="s">
        <v>97</v>
      </c>
      <c r="C1156" s="7">
        <v>4365968</v>
      </c>
      <c r="D1156" s="23" t="s">
        <v>1139</v>
      </c>
      <c r="E1156" s="6" t="s">
        <v>1140</v>
      </c>
      <c r="F1156" s="21" t="s">
        <v>17</v>
      </c>
      <c r="G1156" s="6" t="s">
        <v>1147</v>
      </c>
      <c r="H1156" s="22">
        <v>114567.44</v>
      </c>
      <c r="I1156" s="9">
        <v>2</v>
      </c>
      <c r="J1156" s="22">
        <f t="shared" si="12"/>
        <v>229134.88</v>
      </c>
      <c r="K1156" s="9">
        <f t="array" ref="K1156">QUARTILE(IF($F$3:$F$1460=$F1156,$H$3:$H$1460),1)</f>
        <v>17.549999999999997</v>
      </c>
      <c r="L1156" s="9">
        <f t="array" ref="L1156">QUARTILE(IF($F$3:$F$1460=$F1156,$H$3:$H$1460),2)</f>
        <v>275.8</v>
      </c>
      <c r="M1156" s="9">
        <f t="array" ref="M1156">QUARTILE(IF($F$3:$F$1460=$F1156,$H$3:$H$1460),3)</f>
        <v>11191.057499999999</v>
      </c>
    </row>
    <row r="1157" spans="1:13" x14ac:dyDescent="0.25">
      <c r="A1157" s="7">
        <v>1198</v>
      </c>
      <c r="B1157" s="6" t="s">
        <v>97</v>
      </c>
      <c r="C1157" s="7">
        <v>4365968</v>
      </c>
      <c r="D1157" s="23" t="s">
        <v>1139</v>
      </c>
      <c r="E1157" s="6" t="s">
        <v>1140</v>
      </c>
      <c r="F1157" s="21" t="s">
        <v>75</v>
      </c>
      <c r="G1157" s="45" t="s">
        <v>1148</v>
      </c>
      <c r="H1157" s="22">
        <v>15534.78</v>
      </c>
      <c r="I1157" s="9">
        <v>5</v>
      </c>
      <c r="J1157" s="22">
        <f t="shared" si="12"/>
        <v>77673.900000000009</v>
      </c>
      <c r="K1157" s="9">
        <f t="array" ref="K1157">QUARTILE(IF($F$3:$F$1460=$F1157,$H$3:$H$1460),1)</f>
        <v>7209.15</v>
      </c>
      <c r="L1157" s="9">
        <f t="array" ref="L1157">QUARTILE(IF($F$3:$F$1460=$F1157,$H$3:$H$1460),2)</f>
        <v>15534.78</v>
      </c>
      <c r="M1157" s="9">
        <f t="array" ref="M1157">QUARTILE(IF($F$3:$F$1460=$F1157,$H$3:$H$1460),3)</f>
        <v>29950.799999999999</v>
      </c>
    </row>
    <row r="1158" spans="1:13" x14ac:dyDescent="0.25">
      <c r="A1158" s="7">
        <v>1199</v>
      </c>
      <c r="B1158" s="6" t="s">
        <v>97</v>
      </c>
      <c r="C1158" s="7">
        <v>4365968</v>
      </c>
      <c r="D1158" s="23" t="s">
        <v>1139</v>
      </c>
      <c r="E1158" s="6" t="s">
        <v>1140</v>
      </c>
      <c r="F1158" s="21" t="s">
        <v>75</v>
      </c>
      <c r="G1158" s="45" t="s">
        <v>1149</v>
      </c>
      <c r="H1158" s="22">
        <v>16509.03</v>
      </c>
      <c r="I1158" s="9">
        <v>4</v>
      </c>
      <c r="J1158" s="22">
        <f t="shared" si="12"/>
        <v>66036.12</v>
      </c>
      <c r="K1158" s="9">
        <f t="array" ref="K1158">QUARTILE(IF($F$3:$F$1460=$F1158,$H$3:$H$1460),1)</f>
        <v>7209.15</v>
      </c>
      <c r="L1158" s="9">
        <f t="array" ref="L1158">QUARTILE(IF($F$3:$F$1460=$F1158,$H$3:$H$1460),2)</f>
        <v>15534.78</v>
      </c>
      <c r="M1158" s="9">
        <f t="array" ref="M1158">QUARTILE(IF($F$3:$F$1460=$F1158,$H$3:$H$1460),3)</f>
        <v>29950.799999999999</v>
      </c>
    </row>
    <row r="1159" spans="1:13" x14ac:dyDescent="0.25">
      <c r="A1159" s="7">
        <v>1200</v>
      </c>
      <c r="B1159" s="6" t="s">
        <v>97</v>
      </c>
      <c r="C1159" s="7">
        <v>4365968</v>
      </c>
      <c r="D1159" s="23" t="s">
        <v>1139</v>
      </c>
      <c r="E1159" s="6" t="s">
        <v>1140</v>
      </c>
      <c r="F1159" s="21" t="s">
        <v>75</v>
      </c>
      <c r="G1159" s="45" t="s">
        <v>1150</v>
      </c>
      <c r="H1159" s="22">
        <v>20484.09</v>
      </c>
      <c r="I1159" s="9">
        <v>10</v>
      </c>
      <c r="J1159" s="22">
        <f t="shared" si="12"/>
        <v>204840.9</v>
      </c>
      <c r="K1159" s="9">
        <f t="array" ref="K1159">QUARTILE(IF($F$3:$F$1460=$F1159,$H$3:$H$1460),1)</f>
        <v>7209.15</v>
      </c>
      <c r="L1159" s="9">
        <f t="array" ref="L1159">QUARTILE(IF($F$3:$F$1460=$F1159,$H$3:$H$1460),2)</f>
        <v>15534.78</v>
      </c>
      <c r="M1159" s="9">
        <f t="array" ref="M1159">QUARTILE(IF($F$3:$F$1460=$F1159,$H$3:$H$1460),3)</f>
        <v>29950.799999999999</v>
      </c>
    </row>
    <row r="1160" spans="1:13" x14ac:dyDescent="0.25">
      <c r="A1160" s="7">
        <v>1201</v>
      </c>
      <c r="B1160" s="6" t="s">
        <v>97</v>
      </c>
      <c r="C1160" s="7">
        <v>4365968</v>
      </c>
      <c r="D1160" s="23" t="s">
        <v>1139</v>
      </c>
      <c r="E1160" s="6" t="s">
        <v>1140</v>
      </c>
      <c r="F1160" s="21" t="s">
        <v>75</v>
      </c>
      <c r="G1160" s="45" t="s">
        <v>1151</v>
      </c>
      <c r="H1160" s="22">
        <v>31155.52</v>
      </c>
      <c r="I1160" s="9">
        <v>2</v>
      </c>
      <c r="J1160" s="22">
        <f t="shared" si="12"/>
        <v>62311.040000000001</v>
      </c>
      <c r="K1160" s="9">
        <f t="array" ref="K1160">QUARTILE(IF($F$3:$F$1460=$F1160,$H$3:$H$1460),1)</f>
        <v>7209.15</v>
      </c>
      <c r="L1160" s="9">
        <f t="array" ref="L1160">QUARTILE(IF($F$3:$F$1460=$F1160,$H$3:$H$1460),2)</f>
        <v>15534.78</v>
      </c>
      <c r="M1160" s="9">
        <f t="array" ref="M1160">QUARTILE(IF($F$3:$F$1460=$F1160,$H$3:$H$1460),3)</f>
        <v>29950.799999999999</v>
      </c>
    </row>
    <row r="1161" spans="1:13" x14ac:dyDescent="0.25">
      <c r="A1161" s="7">
        <v>1202</v>
      </c>
      <c r="B1161" s="6" t="s">
        <v>97</v>
      </c>
      <c r="C1161" s="7">
        <v>4365968</v>
      </c>
      <c r="D1161" s="23" t="s">
        <v>1139</v>
      </c>
      <c r="E1161" s="6" t="s">
        <v>1140</v>
      </c>
      <c r="F1161" s="21" t="s">
        <v>75</v>
      </c>
      <c r="G1161" s="45" t="s">
        <v>1152</v>
      </c>
      <c r="H1161" s="22">
        <v>34418.69</v>
      </c>
      <c r="I1161" s="9">
        <v>5</v>
      </c>
      <c r="J1161" s="22">
        <f t="shared" si="12"/>
        <v>172093.45</v>
      </c>
      <c r="K1161" s="9">
        <f t="array" ref="K1161">QUARTILE(IF($F$3:$F$1460=$F1161,$H$3:$H$1460),1)</f>
        <v>7209.15</v>
      </c>
      <c r="L1161" s="9">
        <f t="array" ref="L1161">QUARTILE(IF($F$3:$F$1460=$F1161,$H$3:$H$1460),2)</f>
        <v>15534.78</v>
      </c>
      <c r="M1161" s="9">
        <f t="array" ref="M1161">QUARTILE(IF($F$3:$F$1460=$F1161,$H$3:$H$1460),3)</f>
        <v>29950.799999999999</v>
      </c>
    </row>
    <row r="1162" spans="1:13" x14ac:dyDescent="0.25">
      <c r="A1162" s="7">
        <v>1203</v>
      </c>
      <c r="B1162" s="6" t="s">
        <v>97</v>
      </c>
      <c r="C1162" s="7">
        <v>4365968</v>
      </c>
      <c r="D1162" s="23" t="s">
        <v>1139</v>
      </c>
      <c r="E1162" s="6" t="s">
        <v>1140</v>
      </c>
      <c r="F1162" s="21" t="s">
        <v>75</v>
      </c>
      <c r="G1162" s="45" t="s">
        <v>1153</v>
      </c>
      <c r="H1162" s="22">
        <v>45252.22</v>
      </c>
      <c r="I1162" s="9">
        <v>10</v>
      </c>
      <c r="J1162" s="22">
        <f t="shared" si="12"/>
        <v>452522.2</v>
      </c>
      <c r="K1162" s="9">
        <f t="array" ref="K1162">QUARTILE(IF($F$3:$F$1460=$F1162,$H$3:$H$1460),1)</f>
        <v>7209.15</v>
      </c>
      <c r="L1162" s="9">
        <f t="array" ref="L1162">QUARTILE(IF($F$3:$F$1460=$F1162,$H$3:$H$1460),2)</f>
        <v>15534.78</v>
      </c>
      <c r="M1162" s="9">
        <f t="array" ref="M1162">QUARTILE(IF($F$3:$F$1460=$F1162,$H$3:$H$1460),3)</f>
        <v>29950.799999999999</v>
      </c>
    </row>
    <row r="1163" spans="1:13" x14ac:dyDescent="0.25">
      <c r="A1163" s="7">
        <v>1204</v>
      </c>
      <c r="B1163" s="6" t="s">
        <v>97</v>
      </c>
      <c r="C1163" s="7">
        <v>4365968</v>
      </c>
      <c r="D1163" s="23" t="s">
        <v>1139</v>
      </c>
      <c r="E1163" s="6" t="s">
        <v>1140</v>
      </c>
      <c r="F1163" s="21" t="s">
        <v>75</v>
      </c>
      <c r="G1163" s="45" t="s">
        <v>1154</v>
      </c>
      <c r="H1163" s="22">
        <v>133179.54999999999</v>
      </c>
      <c r="I1163" s="9">
        <v>4</v>
      </c>
      <c r="J1163" s="22">
        <f t="shared" si="12"/>
        <v>532718.19999999995</v>
      </c>
      <c r="K1163" s="9">
        <f t="array" ref="K1163">QUARTILE(IF($F$3:$F$1460=$F1163,$H$3:$H$1460),1)</f>
        <v>7209.15</v>
      </c>
      <c r="L1163" s="9">
        <f t="array" ref="L1163">QUARTILE(IF($F$3:$F$1460=$F1163,$H$3:$H$1460),2)</f>
        <v>15534.78</v>
      </c>
      <c r="M1163" s="9">
        <f t="array" ref="M1163">QUARTILE(IF($F$3:$F$1460=$F1163,$H$3:$H$1460),3)</f>
        <v>29950.799999999999</v>
      </c>
    </row>
    <row r="1164" spans="1:13" x14ac:dyDescent="0.25">
      <c r="A1164" s="7">
        <v>1205</v>
      </c>
      <c r="B1164" s="6" t="s">
        <v>97</v>
      </c>
      <c r="C1164" s="7">
        <v>4365968</v>
      </c>
      <c r="D1164" s="23" t="s">
        <v>1139</v>
      </c>
      <c r="E1164" s="6" t="s">
        <v>1140</v>
      </c>
      <c r="F1164" s="21" t="s">
        <v>75</v>
      </c>
      <c r="G1164" s="45" t="s">
        <v>1155</v>
      </c>
      <c r="H1164" s="22">
        <v>160899.13</v>
      </c>
      <c r="I1164" s="9">
        <v>2</v>
      </c>
      <c r="J1164" s="22">
        <f t="shared" si="12"/>
        <v>321798.26</v>
      </c>
      <c r="K1164" s="9">
        <f t="array" ref="K1164">QUARTILE(IF($F$3:$F$1460=$F1164,$H$3:$H$1460),1)</f>
        <v>7209.15</v>
      </c>
      <c r="L1164" s="9">
        <f t="array" ref="L1164">QUARTILE(IF($F$3:$F$1460=$F1164,$H$3:$H$1460),2)</f>
        <v>15534.78</v>
      </c>
      <c r="M1164" s="9">
        <f t="array" ref="M1164">QUARTILE(IF($F$3:$F$1460=$F1164,$H$3:$H$1460),3)</f>
        <v>29950.799999999999</v>
      </c>
    </row>
    <row r="1165" spans="1:13" x14ac:dyDescent="0.25">
      <c r="A1165" s="7">
        <v>1206</v>
      </c>
      <c r="B1165" s="6" t="s">
        <v>97</v>
      </c>
      <c r="C1165" s="7">
        <v>4365968</v>
      </c>
      <c r="D1165" s="23" t="s">
        <v>1139</v>
      </c>
      <c r="E1165" s="6" t="s">
        <v>1140</v>
      </c>
      <c r="F1165" s="21" t="s">
        <v>47</v>
      </c>
      <c r="G1165" s="6" t="s">
        <v>1156</v>
      </c>
      <c r="H1165" s="22">
        <v>279</v>
      </c>
      <c r="I1165" s="9">
        <v>20</v>
      </c>
      <c r="J1165" s="22">
        <f t="shared" si="12"/>
        <v>5580</v>
      </c>
      <c r="K1165" s="9">
        <f t="array" ref="K1165">QUARTILE(IF($F$3:$F$1460=$F1165,$H$3:$H$1460),1)</f>
        <v>279</v>
      </c>
      <c r="L1165" s="9">
        <f t="array" ref="L1165">QUARTILE(IF($F$3:$F$1460=$F1165,$H$3:$H$1460),2)</f>
        <v>358.2</v>
      </c>
      <c r="M1165" s="9">
        <f t="array" ref="M1165">QUARTILE(IF($F$3:$F$1460=$F1165,$H$3:$H$1460),3)</f>
        <v>705</v>
      </c>
    </row>
    <row r="1166" spans="1:13" x14ac:dyDescent="0.25">
      <c r="A1166" s="7">
        <v>1207</v>
      </c>
      <c r="B1166" s="6" t="s">
        <v>97</v>
      </c>
      <c r="C1166" s="7">
        <v>4365968</v>
      </c>
      <c r="D1166" s="23" t="s">
        <v>1139</v>
      </c>
      <c r="E1166" s="6" t="s">
        <v>1140</v>
      </c>
      <c r="F1166" s="21" t="s">
        <v>47</v>
      </c>
      <c r="G1166" s="6" t="s">
        <v>1157</v>
      </c>
      <c r="H1166" s="22">
        <v>705</v>
      </c>
      <c r="I1166" s="9">
        <v>40</v>
      </c>
      <c r="J1166" s="22">
        <f t="shared" si="12"/>
        <v>28200</v>
      </c>
      <c r="K1166" s="9">
        <f t="array" ref="K1166">QUARTILE(IF($F$3:$F$1460=$F1166,$H$3:$H$1460),1)</f>
        <v>279</v>
      </c>
      <c r="L1166" s="9">
        <f t="array" ref="L1166">QUARTILE(IF($F$3:$F$1460=$F1166,$H$3:$H$1460),2)</f>
        <v>358.2</v>
      </c>
      <c r="M1166" s="9">
        <f t="array" ref="M1166">QUARTILE(IF($F$3:$F$1460=$F1166,$H$3:$H$1460),3)</f>
        <v>705</v>
      </c>
    </row>
    <row r="1167" spans="1:13" x14ac:dyDescent="0.25">
      <c r="A1167" s="7">
        <v>1208</v>
      </c>
      <c r="B1167" s="6" t="s">
        <v>97</v>
      </c>
      <c r="C1167" s="7">
        <v>4365968</v>
      </c>
      <c r="D1167" s="23" t="s">
        <v>1139</v>
      </c>
      <c r="E1167" s="6" t="s">
        <v>1140</v>
      </c>
      <c r="F1167" s="21" t="s">
        <v>47</v>
      </c>
      <c r="G1167" s="6" t="s">
        <v>642</v>
      </c>
      <c r="H1167" s="22">
        <v>365</v>
      </c>
      <c r="I1167" s="9">
        <v>40</v>
      </c>
      <c r="J1167" s="22">
        <f t="shared" si="12"/>
        <v>14600</v>
      </c>
      <c r="K1167" s="9">
        <f t="array" ref="K1167">QUARTILE(IF($F$3:$F$1460=$F1167,$H$3:$H$1460),1)</f>
        <v>279</v>
      </c>
      <c r="L1167" s="9">
        <f t="array" ref="L1167">QUARTILE(IF($F$3:$F$1460=$F1167,$H$3:$H$1460),2)</f>
        <v>358.2</v>
      </c>
      <c r="M1167" s="9">
        <f t="array" ref="M1167">QUARTILE(IF($F$3:$F$1460=$F1167,$H$3:$H$1460),3)</f>
        <v>705</v>
      </c>
    </row>
    <row r="1168" spans="1:13" x14ac:dyDescent="0.25">
      <c r="A1168" s="7">
        <v>1209</v>
      </c>
      <c r="B1168" s="6" t="s">
        <v>97</v>
      </c>
      <c r="C1168" s="7">
        <v>4365968</v>
      </c>
      <c r="D1168" s="23" t="s">
        <v>1139</v>
      </c>
      <c r="E1168" s="6" t="s">
        <v>1140</v>
      </c>
      <c r="F1168" s="21" t="s">
        <v>47</v>
      </c>
      <c r="G1168" s="6" t="s">
        <v>1157</v>
      </c>
      <c r="H1168" s="22">
        <v>712.95</v>
      </c>
      <c r="I1168" s="9">
        <v>40</v>
      </c>
      <c r="J1168" s="22">
        <f t="shared" si="12"/>
        <v>28518</v>
      </c>
      <c r="K1168" s="9">
        <f t="array" ref="K1168">QUARTILE(IF($F$3:$F$1460=$F1168,$H$3:$H$1460),1)</f>
        <v>279</v>
      </c>
      <c r="L1168" s="9">
        <f t="array" ref="L1168">QUARTILE(IF($F$3:$F$1460=$F1168,$H$3:$H$1460),2)</f>
        <v>358.2</v>
      </c>
      <c r="M1168" s="9">
        <f t="array" ref="M1168">QUARTILE(IF($F$3:$F$1460=$F1168,$H$3:$H$1460),3)</f>
        <v>705</v>
      </c>
    </row>
    <row r="1169" spans="1:13" x14ac:dyDescent="0.25">
      <c r="A1169" s="7">
        <v>1210</v>
      </c>
      <c r="B1169" s="6" t="s">
        <v>97</v>
      </c>
      <c r="C1169" s="7">
        <v>4365968</v>
      </c>
      <c r="D1169" s="23" t="s">
        <v>1139</v>
      </c>
      <c r="E1169" s="6" t="s">
        <v>1140</v>
      </c>
      <c r="F1169" s="21" t="s">
        <v>47</v>
      </c>
      <c r="G1169" s="6" t="s">
        <v>1158</v>
      </c>
      <c r="H1169" s="22">
        <v>1692.65</v>
      </c>
      <c r="I1169" s="9">
        <v>20</v>
      </c>
      <c r="J1169" s="22">
        <f t="shared" si="12"/>
        <v>33853</v>
      </c>
      <c r="K1169" s="9">
        <f t="array" ref="K1169">QUARTILE(IF($F$3:$F$1460=$F1169,$H$3:$H$1460),1)</f>
        <v>279</v>
      </c>
      <c r="L1169" s="9">
        <f t="array" ref="L1169">QUARTILE(IF($F$3:$F$1460=$F1169,$H$3:$H$1460),2)</f>
        <v>358.2</v>
      </c>
      <c r="M1169" s="9">
        <f t="array" ref="M1169">QUARTILE(IF($F$3:$F$1460=$F1169,$H$3:$H$1460),3)</f>
        <v>705</v>
      </c>
    </row>
    <row r="1170" spans="1:13" x14ac:dyDescent="0.25">
      <c r="A1170" s="7">
        <v>1211</v>
      </c>
      <c r="B1170" s="6" t="s">
        <v>97</v>
      </c>
      <c r="C1170" s="7">
        <v>4365968</v>
      </c>
      <c r="D1170" s="23" t="s">
        <v>1139</v>
      </c>
      <c r="E1170" s="6" t="s">
        <v>1140</v>
      </c>
      <c r="F1170" s="21" t="s">
        <v>31</v>
      </c>
      <c r="G1170" s="6" t="s">
        <v>1159</v>
      </c>
      <c r="H1170" s="22">
        <v>295.85000000000002</v>
      </c>
      <c r="I1170" s="9">
        <v>10</v>
      </c>
      <c r="J1170" s="22">
        <f t="shared" si="12"/>
        <v>2958.5</v>
      </c>
      <c r="K1170" s="9">
        <f t="array" ref="K1170">QUARTILE(IF($F$3:$F$1460=$F1170,$H$3:$H$1460),1)</f>
        <v>55.5</v>
      </c>
      <c r="L1170" s="9">
        <f t="array" ref="L1170">QUARTILE(IF($F$3:$F$1460=$F1170,$H$3:$H$1460),2)</f>
        <v>91.88</v>
      </c>
      <c r="M1170" s="9">
        <f t="array" ref="M1170">QUARTILE(IF($F$3:$F$1460=$F1170,$H$3:$H$1460),3)</f>
        <v>148.36000000000001</v>
      </c>
    </row>
    <row r="1171" spans="1:13" x14ac:dyDescent="0.25">
      <c r="A1171" s="7">
        <v>1212</v>
      </c>
      <c r="B1171" s="6" t="s">
        <v>97</v>
      </c>
      <c r="C1171" s="7">
        <v>4365968</v>
      </c>
      <c r="D1171" s="23" t="s">
        <v>1139</v>
      </c>
      <c r="E1171" s="6" t="s">
        <v>1140</v>
      </c>
      <c r="F1171" s="21" t="s">
        <v>31</v>
      </c>
      <c r="G1171" s="6" t="s">
        <v>1160</v>
      </c>
      <c r="H1171" s="22">
        <v>1633.5</v>
      </c>
      <c r="I1171" s="9">
        <v>6</v>
      </c>
      <c r="J1171" s="22">
        <f t="shared" si="12"/>
        <v>9801</v>
      </c>
      <c r="K1171" s="9">
        <f t="array" ref="K1171">QUARTILE(IF($F$3:$F$1460=$F1171,$H$3:$H$1460),1)</f>
        <v>55.5</v>
      </c>
      <c r="L1171" s="9">
        <f t="array" ref="L1171">QUARTILE(IF($F$3:$F$1460=$F1171,$H$3:$H$1460),2)</f>
        <v>91.88</v>
      </c>
      <c r="M1171" s="9">
        <f t="array" ref="M1171">QUARTILE(IF($F$3:$F$1460=$F1171,$H$3:$H$1460),3)</f>
        <v>148.36000000000001</v>
      </c>
    </row>
    <row r="1172" spans="1:13" x14ac:dyDescent="0.25">
      <c r="A1172" s="7">
        <v>1213</v>
      </c>
      <c r="B1172" s="6" t="s">
        <v>97</v>
      </c>
      <c r="C1172" s="7">
        <v>4365968</v>
      </c>
      <c r="D1172" s="23" t="s">
        <v>1139</v>
      </c>
      <c r="E1172" s="6" t="s">
        <v>1140</v>
      </c>
      <c r="F1172" s="21" t="s">
        <v>11</v>
      </c>
      <c r="G1172" s="6" t="s">
        <v>1161</v>
      </c>
      <c r="H1172" s="22">
        <v>1149.45</v>
      </c>
      <c r="I1172" s="9">
        <v>4</v>
      </c>
      <c r="J1172" s="22">
        <f t="shared" si="12"/>
        <v>4597.8</v>
      </c>
      <c r="K1172" s="9">
        <f t="array" ref="K1172">QUARTILE(IF($F$3:$F$1460=$F1172,$H$3:$H$1460),1)</f>
        <v>9.8249999999999993</v>
      </c>
      <c r="L1172" s="9">
        <f t="array" ref="L1172">QUARTILE(IF($F$3:$F$1460=$F1172,$H$3:$H$1460),2)</f>
        <v>21.14</v>
      </c>
      <c r="M1172" s="9">
        <f t="array" ref="M1172">QUARTILE(IF($F$3:$F$1460=$F1172,$H$3:$H$1460),3)</f>
        <v>248.75</v>
      </c>
    </row>
    <row r="1173" spans="1:13" x14ac:dyDescent="0.25">
      <c r="A1173" s="7">
        <v>1214</v>
      </c>
      <c r="B1173" s="6" t="s">
        <v>97</v>
      </c>
      <c r="C1173" s="7">
        <v>4365968</v>
      </c>
      <c r="D1173" s="23" t="s">
        <v>1139</v>
      </c>
      <c r="E1173" s="6" t="s">
        <v>1140</v>
      </c>
      <c r="F1173" s="21" t="s">
        <v>64</v>
      </c>
      <c r="G1173" s="6" t="s">
        <v>1162</v>
      </c>
      <c r="H1173" s="22">
        <v>6261.35</v>
      </c>
      <c r="I1173" s="9">
        <v>2</v>
      </c>
      <c r="J1173" s="22">
        <f t="shared" si="12"/>
        <v>12522.7</v>
      </c>
      <c r="K1173" s="9">
        <f t="array" ref="K1173">QUARTILE(IF($F$3:$F$1460=$F1173,$H$3:$H$1460),1)</f>
        <v>1308.4649999999999</v>
      </c>
      <c r="L1173" s="9">
        <f t="array" ref="L1173">QUARTILE(IF($F$3:$F$1460=$F1173,$H$3:$H$1460),2)</f>
        <v>1623.05</v>
      </c>
      <c r="M1173" s="9">
        <f t="array" ref="M1173">QUARTILE(IF($F$3:$F$1460=$F1173,$H$3:$H$1460),3)</f>
        <v>3942.2</v>
      </c>
    </row>
    <row r="1174" spans="1:13" x14ac:dyDescent="0.25">
      <c r="A1174" s="7">
        <v>1215</v>
      </c>
      <c r="B1174" s="6" t="s">
        <v>97</v>
      </c>
      <c r="C1174" s="7">
        <v>4365968</v>
      </c>
      <c r="D1174" s="23" t="s">
        <v>1139</v>
      </c>
      <c r="E1174" s="6" t="s">
        <v>1140</v>
      </c>
      <c r="F1174" s="21" t="s">
        <v>17</v>
      </c>
      <c r="G1174" s="6" t="s">
        <v>1163</v>
      </c>
      <c r="H1174" s="22">
        <v>1532.6</v>
      </c>
      <c r="I1174" s="9">
        <v>2</v>
      </c>
      <c r="J1174" s="22">
        <f t="shared" si="12"/>
        <v>3065.2</v>
      </c>
      <c r="K1174" s="9">
        <f t="array" ref="K1174">QUARTILE(IF($F$3:$F$1460=$F1174,$H$3:$H$1460),1)</f>
        <v>17.549999999999997</v>
      </c>
      <c r="L1174" s="9">
        <f t="array" ref="L1174">QUARTILE(IF($F$3:$F$1460=$F1174,$H$3:$H$1460),2)</f>
        <v>275.8</v>
      </c>
      <c r="M1174" s="9">
        <f t="array" ref="M1174">QUARTILE(IF($F$3:$F$1460=$F1174,$H$3:$H$1460),3)</f>
        <v>11191.057499999999</v>
      </c>
    </row>
    <row r="1175" spans="1:13" x14ac:dyDescent="0.25">
      <c r="A1175" s="7">
        <v>1216</v>
      </c>
      <c r="B1175" s="6" t="s">
        <v>97</v>
      </c>
      <c r="C1175" s="7">
        <v>4365968</v>
      </c>
      <c r="D1175" s="23" t="s">
        <v>1139</v>
      </c>
      <c r="E1175" s="6" t="s">
        <v>1140</v>
      </c>
      <c r="F1175" s="21" t="s">
        <v>17</v>
      </c>
      <c r="G1175" s="6" t="s">
        <v>1164</v>
      </c>
      <c r="H1175" s="22">
        <v>3082.66</v>
      </c>
      <c r="I1175" s="9">
        <v>8</v>
      </c>
      <c r="J1175" s="22">
        <f t="shared" si="12"/>
        <v>24661.279999999999</v>
      </c>
      <c r="K1175" s="9">
        <f t="array" ref="K1175">QUARTILE(IF($F$3:$F$1460=$F1175,$H$3:$H$1460),1)</f>
        <v>17.549999999999997</v>
      </c>
      <c r="L1175" s="9">
        <f t="array" ref="L1175">QUARTILE(IF($F$3:$F$1460=$F1175,$H$3:$H$1460),2)</f>
        <v>275.8</v>
      </c>
      <c r="M1175" s="9">
        <f t="array" ref="M1175">QUARTILE(IF($F$3:$F$1460=$F1175,$H$3:$H$1460),3)</f>
        <v>11191.057499999999</v>
      </c>
    </row>
    <row r="1176" spans="1:13" x14ac:dyDescent="0.25">
      <c r="A1176" s="7">
        <v>1217</v>
      </c>
      <c r="B1176" s="6" t="s">
        <v>97</v>
      </c>
      <c r="C1176" s="7">
        <v>4365968</v>
      </c>
      <c r="D1176" s="23" t="s">
        <v>1139</v>
      </c>
      <c r="E1176" s="6" t="s">
        <v>1140</v>
      </c>
      <c r="F1176" s="21" t="s">
        <v>17</v>
      </c>
      <c r="G1176" s="6" t="s">
        <v>1165</v>
      </c>
      <c r="H1176" s="22">
        <v>1267.79</v>
      </c>
      <c r="I1176" s="9">
        <v>2</v>
      </c>
      <c r="J1176" s="22">
        <f t="shared" si="12"/>
        <v>2535.58</v>
      </c>
      <c r="K1176" s="9">
        <f t="array" ref="K1176">QUARTILE(IF($F$3:$F$1460=$F1176,$H$3:$H$1460),1)</f>
        <v>17.549999999999997</v>
      </c>
      <c r="L1176" s="9">
        <f t="array" ref="L1176">QUARTILE(IF($F$3:$F$1460=$F1176,$H$3:$H$1460),2)</f>
        <v>275.8</v>
      </c>
      <c r="M1176" s="9">
        <f t="array" ref="M1176">QUARTILE(IF($F$3:$F$1460=$F1176,$H$3:$H$1460),3)</f>
        <v>11191.057499999999</v>
      </c>
    </row>
    <row r="1177" spans="1:13" x14ac:dyDescent="0.25">
      <c r="A1177" s="7">
        <v>1218</v>
      </c>
      <c r="B1177" s="6" t="s">
        <v>97</v>
      </c>
      <c r="C1177" s="7">
        <v>4365968</v>
      </c>
      <c r="D1177" s="23" t="s">
        <v>1139</v>
      </c>
      <c r="E1177" s="6" t="s">
        <v>1140</v>
      </c>
      <c r="F1177" s="21" t="s">
        <v>17</v>
      </c>
      <c r="G1177" s="6" t="s">
        <v>1166</v>
      </c>
      <c r="H1177" s="22">
        <v>46298.59</v>
      </c>
      <c r="I1177" s="9">
        <v>2</v>
      </c>
      <c r="J1177" s="22">
        <f t="shared" si="12"/>
        <v>92597.18</v>
      </c>
      <c r="K1177" s="9">
        <f t="array" ref="K1177">QUARTILE(IF($F$3:$F$1460=$F1177,$H$3:$H$1460),1)</f>
        <v>17.549999999999997</v>
      </c>
      <c r="L1177" s="9">
        <f t="array" ref="L1177">QUARTILE(IF($F$3:$F$1460=$F1177,$H$3:$H$1460),2)</f>
        <v>275.8</v>
      </c>
      <c r="M1177" s="9">
        <f t="array" ref="M1177">QUARTILE(IF($F$3:$F$1460=$F1177,$H$3:$H$1460),3)</f>
        <v>11191.057499999999</v>
      </c>
    </row>
    <row r="1178" spans="1:13" x14ac:dyDescent="0.25">
      <c r="A1178" s="7">
        <v>1219</v>
      </c>
      <c r="B1178" s="6" t="s">
        <v>97</v>
      </c>
      <c r="C1178" s="7">
        <v>4365968</v>
      </c>
      <c r="D1178" s="23" t="s">
        <v>1139</v>
      </c>
      <c r="E1178" s="6" t="s">
        <v>1140</v>
      </c>
      <c r="F1178" s="21" t="s">
        <v>17</v>
      </c>
      <c r="G1178" s="6" t="s">
        <v>1167</v>
      </c>
      <c r="H1178" s="22">
        <v>65274.6</v>
      </c>
      <c r="I1178" s="9">
        <v>1</v>
      </c>
      <c r="J1178" s="22">
        <f t="shared" si="12"/>
        <v>65274.6</v>
      </c>
      <c r="K1178" s="9">
        <f t="array" ref="K1178">QUARTILE(IF($F$3:$F$1460=$F1178,$H$3:$H$1460),1)</f>
        <v>17.549999999999997</v>
      </c>
      <c r="L1178" s="9">
        <f t="array" ref="L1178">QUARTILE(IF($F$3:$F$1460=$F1178,$H$3:$H$1460),2)</f>
        <v>275.8</v>
      </c>
      <c r="M1178" s="9">
        <f t="array" ref="M1178">QUARTILE(IF($F$3:$F$1460=$F1178,$H$3:$H$1460),3)</f>
        <v>11191.057499999999</v>
      </c>
    </row>
    <row r="1179" spans="1:13" x14ac:dyDescent="0.25">
      <c r="A1179" s="7">
        <v>1220</v>
      </c>
      <c r="B1179" s="6" t="s">
        <v>97</v>
      </c>
      <c r="C1179" s="7">
        <v>4365968</v>
      </c>
      <c r="D1179" s="23" t="s">
        <v>1139</v>
      </c>
      <c r="E1179" s="6" t="s">
        <v>1140</v>
      </c>
      <c r="F1179" s="21" t="s">
        <v>68</v>
      </c>
      <c r="G1179" s="45" t="s">
        <v>1168</v>
      </c>
      <c r="H1179" s="22">
        <v>272158.38</v>
      </c>
      <c r="I1179" s="9">
        <v>1</v>
      </c>
      <c r="J1179" s="22">
        <f t="shared" si="12"/>
        <v>272158.38</v>
      </c>
      <c r="K1179" s="9">
        <f t="array" ref="K1179">QUARTILE(IF($F$3:$F$1460=$F1179,$H$3:$H$1460),1)</f>
        <v>2032</v>
      </c>
      <c r="L1179" s="9">
        <f t="array" ref="L1179">QUARTILE(IF($F$3:$F$1460=$F1179,$H$3:$H$1460),2)</f>
        <v>19360</v>
      </c>
      <c r="M1179" s="9">
        <f t="array" ref="M1179">QUARTILE(IF($F$3:$F$1460=$F1179,$H$3:$H$1460),3)</f>
        <v>87628.37</v>
      </c>
    </row>
    <row r="1180" spans="1:13" ht="16.5" customHeight="1" x14ac:dyDescent="0.25">
      <c r="A1180" s="7">
        <v>1221</v>
      </c>
      <c r="B1180" s="6" t="s">
        <v>97</v>
      </c>
      <c r="C1180" s="7">
        <v>4365968</v>
      </c>
      <c r="D1180" s="23" t="s">
        <v>1139</v>
      </c>
      <c r="E1180" s="6" t="s">
        <v>1140</v>
      </c>
      <c r="F1180" s="21" t="s">
        <v>17</v>
      </c>
      <c r="G1180" s="6" t="s">
        <v>1169</v>
      </c>
      <c r="H1180" s="22">
        <v>46298.59</v>
      </c>
      <c r="I1180" s="9">
        <v>2</v>
      </c>
      <c r="J1180" s="22">
        <f t="shared" si="12"/>
        <v>92597.18</v>
      </c>
      <c r="K1180" s="9">
        <f t="array" ref="K1180">QUARTILE(IF($F$3:$F$1460=$F1180,$H$3:$H$1460),1)</f>
        <v>17.549999999999997</v>
      </c>
      <c r="L1180" s="9">
        <f t="array" ref="L1180">QUARTILE(IF($F$3:$F$1460=$F1180,$H$3:$H$1460),2)</f>
        <v>275.8</v>
      </c>
      <c r="M1180" s="9">
        <f t="array" ref="M1180">QUARTILE(IF($F$3:$F$1460=$F1180,$H$3:$H$1460),3)</f>
        <v>11191.057499999999</v>
      </c>
    </row>
    <row r="1181" spans="1:13" x14ac:dyDescent="0.25">
      <c r="A1181" s="7">
        <v>1222</v>
      </c>
      <c r="B1181" s="6" t="s">
        <v>97</v>
      </c>
      <c r="C1181" s="7">
        <v>4365968</v>
      </c>
      <c r="D1181" s="23" t="s">
        <v>1139</v>
      </c>
      <c r="E1181" s="6" t="s">
        <v>1140</v>
      </c>
      <c r="F1181" s="21" t="s">
        <v>68</v>
      </c>
      <c r="G1181" s="45" t="s">
        <v>1170</v>
      </c>
      <c r="H1181" s="22">
        <v>141798.51999999999</v>
      </c>
      <c r="I1181" s="9">
        <v>2</v>
      </c>
      <c r="J1181" s="22">
        <f t="shared" si="12"/>
        <v>283597.03999999998</v>
      </c>
      <c r="K1181" s="9">
        <f t="array" ref="K1181">QUARTILE(IF($F$3:$F$1460=$F1181,$H$3:$H$1460),1)</f>
        <v>2032</v>
      </c>
      <c r="L1181" s="9">
        <f t="array" ref="L1181">QUARTILE(IF($F$3:$F$1460=$F1181,$H$3:$H$1460),2)</f>
        <v>19360</v>
      </c>
      <c r="M1181" s="9">
        <f t="array" ref="M1181">QUARTILE(IF($F$3:$F$1460=$F1181,$H$3:$H$1460),3)</f>
        <v>87628.37</v>
      </c>
    </row>
    <row r="1182" spans="1:13" ht="17.25" customHeight="1" x14ac:dyDescent="0.25">
      <c r="A1182" s="7">
        <v>1223</v>
      </c>
      <c r="B1182" s="6" t="s">
        <v>97</v>
      </c>
      <c r="C1182" s="7">
        <v>4365968</v>
      </c>
      <c r="D1182" s="23" t="s">
        <v>1139</v>
      </c>
      <c r="E1182" s="6" t="s">
        <v>1140</v>
      </c>
      <c r="F1182" s="21" t="s">
        <v>17</v>
      </c>
      <c r="G1182" s="6" t="s">
        <v>1171</v>
      </c>
      <c r="H1182" s="22">
        <v>35730.99</v>
      </c>
      <c r="I1182" s="9">
        <v>2</v>
      </c>
      <c r="J1182" s="22">
        <f t="shared" si="12"/>
        <v>71461.98</v>
      </c>
      <c r="K1182" s="9">
        <f t="array" ref="K1182">QUARTILE(IF($F$3:$F$1460=$F1182,$H$3:$H$1460),1)</f>
        <v>17.549999999999997</v>
      </c>
      <c r="L1182" s="9">
        <f t="array" ref="L1182">QUARTILE(IF($F$3:$F$1460=$F1182,$H$3:$H$1460),2)</f>
        <v>275.8</v>
      </c>
      <c r="M1182" s="9">
        <f t="array" ref="M1182">QUARTILE(IF($F$3:$F$1460=$F1182,$H$3:$H$1460),3)</f>
        <v>11191.057499999999</v>
      </c>
    </row>
    <row r="1183" spans="1:13" ht="16.5" customHeight="1" x14ac:dyDescent="0.25">
      <c r="A1183" s="7">
        <v>1224</v>
      </c>
      <c r="B1183" s="6" t="s">
        <v>97</v>
      </c>
      <c r="C1183" s="7">
        <v>4365968</v>
      </c>
      <c r="D1183" s="23" t="s">
        <v>1139</v>
      </c>
      <c r="E1183" s="6" t="s">
        <v>1140</v>
      </c>
      <c r="F1183" s="21" t="s">
        <v>17</v>
      </c>
      <c r="G1183" s="6" t="s">
        <v>1172</v>
      </c>
      <c r="H1183" s="22">
        <v>83566.8</v>
      </c>
      <c r="I1183" s="9">
        <v>1</v>
      </c>
      <c r="J1183" s="22">
        <f t="shared" si="12"/>
        <v>83566.8</v>
      </c>
      <c r="K1183" s="9">
        <f t="array" ref="K1183">QUARTILE(IF($F$3:$F$1460=$F1183,$H$3:$H$1460),1)</f>
        <v>17.549999999999997</v>
      </c>
      <c r="L1183" s="9">
        <f t="array" ref="L1183">QUARTILE(IF($F$3:$F$1460=$F1183,$H$3:$H$1460),2)</f>
        <v>275.8</v>
      </c>
      <c r="M1183" s="9">
        <f t="array" ref="M1183">QUARTILE(IF($F$3:$F$1460=$F1183,$H$3:$H$1460),3)</f>
        <v>11191.057499999999</v>
      </c>
    </row>
    <row r="1184" spans="1:13" x14ac:dyDescent="0.25">
      <c r="A1184" s="7">
        <v>1225</v>
      </c>
      <c r="B1184" s="6" t="s">
        <v>97</v>
      </c>
      <c r="C1184" s="7">
        <v>4365968</v>
      </c>
      <c r="D1184" s="23" t="s">
        <v>1139</v>
      </c>
      <c r="E1184" s="6" t="s">
        <v>1140</v>
      </c>
      <c r="F1184" s="21" t="s">
        <v>68</v>
      </c>
      <c r="G1184" s="45" t="s">
        <v>1173</v>
      </c>
      <c r="H1184" s="22">
        <v>186066.95</v>
      </c>
      <c r="I1184" s="9">
        <v>1</v>
      </c>
      <c r="J1184" s="22">
        <f t="shared" si="12"/>
        <v>186066.95</v>
      </c>
      <c r="K1184" s="9">
        <f t="array" ref="K1184">QUARTILE(IF($F$3:$F$1460=$F1184,$H$3:$H$1460),1)</f>
        <v>2032</v>
      </c>
      <c r="L1184" s="9">
        <f t="array" ref="L1184">QUARTILE(IF($F$3:$F$1460=$F1184,$H$3:$H$1460),2)</f>
        <v>19360</v>
      </c>
      <c r="M1184" s="9">
        <f t="array" ref="M1184">QUARTILE(IF($F$3:$F$1460=$F1184,$H$3:$H$1460),3)</f>
        <v>87628.37</v>
      </c>
    </row>
    <row r="1185" spans="1:13" x14ac:dyDescent="0.25">
      <c r="A1185" s="7">
        <v>1226</v>
      </c>
      <c r="B1185" s="6" t="s">
        <v>97</v>
      </c>
      <c r="C1185" s="7">
        <v>4365968</v>
      </c>
      <c r="D1185" s="23" t="s">
        <v>1139</v>
      </c>
      <c r="E1185" s="6" t="s">
        <v>1140</v>
      </c>
      <c r="F1185" s="21" t="s">
        <v>68</v>
      </c>
      <c r="G1185" s="45" t="s">
        <v>1174</v>
      </c>
      <c r="H1185" s="22">
        <v>159166.84</v>
      </c>
      <c r="I1185" s="9">
        <v>1</v>
      </c>
      <c r="J1185" s="22">
        <f t="shared" si="12"/>
        <v>159166.84</v>
      </c>
      <c r="K1185" s="9">
        <f t="array" ref="K1185">QUARTILE(IF($F$3:$F$1460=$F1185,$H$3:$H$1460),1)</f>
        <v>2032</v>
      </c>
      <c r="L1185" s="9">
        <f t="array" ref="L1185">QUARTILE(IF($F$3:$F$1460=$F1185,$H$3:$H$1460),2)</f>
        <v>19360</v>
      </c>
      <c r="M1185" s="9">
        <f t="array" ref="M1185">QUARTILE(IF($F$3:$F$1460=$F1185,$H$3:$H$1460),3)</f>
        <v>87628.37</v>
      </c>
    </row>
    <row r="1186" spans="1:13" x14ac:dyDescent="0.25">
      <c r="A1186" s="7">
        <v>1227</v>
      </c>
      <c r="B1186" s="6" t="s">
        <v>97</v>
      </c>
      <c r="C1186" s="7">
        <v>4365968</v>
      </c>
      <c r="D1186" s="23" t="s">
        <v>1139</v>
      </c>
      <c r="E1186" s="6" t="s">
        <v>1140</v>
      </c>
      <c r="F1186" s="21" t="s">
        <v>77</v>
      </c>
      <c r="G1186" s="6" t="s">
        <v>1175</v>
      </c>
      <c r="H1186" s="22">
        <v>19445.55</v>
      </c>
      <c r="I1186" s="9">
        <v>1</v>
      </c>
      <c r="J1186" s="22">
        <f t="shared" si="12"/>
        <v>19445.55</v>
      </c>
      <c r="K1186" s="9">
        <f t="array" ref="K1186">QUARTILE(IF($F$3:$F$1460=$F1186,$H$3:$H$1460),1)</f>
        <v>12800</v>
      </c>
      <c r="L1186" s="9">
        <f t="array" ref="L1186">QUARTILE(IF($F$3:$F$1460=$F1186,$H$3:$H$1460),2)</f>
        <v>18793.535</v>
      </c>
      <c r="M1186" s="9">
        <f t="array" ref="M1186">QUARTILE(IF($F$3:$F$1460=$F1186,$H$3:$H$1460),3)</f>
        <v>26260.85</v>
      </c>
    </row>
    <row r="1187" spans="1:13" x14ac:dyDescent="0.25">
      <c r="A1187" s="7">
        <v>1228</v>
      </c>
      <c r="B1187" s="6" t="s">
        <v>97</v>
      </c>
      <c r="C1187" s="7">
        <v>4365968</v>
      </c>
      <c r="D1187" s="23" t="s">
        <v>1139</v>
      </c>
      <c r="E1187" s="6" t="s">
        <v>1140</v>
      </c>
      <c r="F1187" s="21" t="s">
        <v>77</v>
      </c>
      <c r="G1187" s="6" t="s">
        <v>1176</v>
      </c>
      <c r="H1187" s="22">
        <f>19445.55+89020.67</f>
        <v>108466.22</v>
      </c>
      <c r="I1187" s="9">
        <v>1</v>
      </c>
      <c r="J1187" s="22">
        <f t="shared" si="12"/>
        <v>108466.22</v>
      </c>
      <c r="K1187" s="9">
        <f t="array" ref="K1187">QUARTILE(IF($F$3:$F$1460=$F1187,$H$3:$H$1460),1)</f>
        <v>12800</v>
      </c>
      <c r="L1187" s="9">
        <f t="array" ref="L1187">QUARTILE(IF($F$3:$F$1460=$F1187,$H$3:$H$1460),2)</f>
        <v>18793.535</v>
      </c>
      <c r="M1187" s="9">
        <f t="array" ref="M1187">QUARTILE(IF($F$3:$F$1460=$F1187,$H$3:$H$1460),3)</f>
        <v>26260.85</v>
      </c>
    </row>
    <row r="1188" spans="1:13" x14ac:dyDescent="0.25">
      <c r="A1188" s="7">
        <v>1229</v>
      </c>
      <c r="B1188" s="6" t="s">
        <v>97</v>
      </c>
      <c r="C1188" s="7">
        <v>4365968</v>
      </c>
      <c r="D1188" s="23" t="s">
        <v>1139</v>
      </c>
      <c r="E1188" s="6" t="s">
        <v>1140</v>
      </c>
      <c r="F1188" s="21" t="s">
        <v>77</v>
      </c>
      <c r="G1188" s="6" t="s">
        <v>1177</v>
      </c>
      <c r="H1188" s="22">
        <v>46706.75</v>
      </c>
      <c r="I1188" s="9">
        <v>1</v>
      </c>
      <c r="J1188" s="22">
        <f t="shared" si="12"/>
        <v>46706.75</v>
      </c>
      <c r="K1188" s="9">
        <f t="array" ref="K1188">QUARTILE(IF($F$3:$F$1460=$F1188,$H$3:$H$1460),1)</f>
        <v>12800</v>
      </c>
      <c r="L1188" s="9">
        <f t="array" ref="L1188">QUARTILE(IF($F$3:$F$1460=$F1188,$H$3:$H$1460),2)</f>
        <v>18793.535</v>
      </c>
      <c r="M1188" s="9">
        <f t="array" ref="M1188">QUARTILE(IF($F$3:$F$1460=$F1188,$H$3:$H$1460),3)</f>
        <v>26260.85</v>
      </c>
    </row>
    <row r="1189" spans="1:13" x14ac:dyDescent="0.25">
      <c r="A1189" s="7">
        <v>1230</v>
      </c>
      <c r="B1189" s="6" t="s">
        <v>97</v>
      </c>
      <c r="C1189" s="7">
        <v>4365968</v>
      </c>
      <c r="D1189" s="23" t="s">
        <v>1139</v>
      </c>
      <c r="E1189" s="6" t="s">
        <v>1140</v>
      </c>
      <c r="F1189" s="21" t="s">
        <v>76</v>
      </c>
      <c r="G1189" s="6" t="s">
        <v>1178</v>
      </c>
      <c r="H1189" s="22">
        <f>21085.38+6121.67</f>
        <v>27207.050000000003</v>
      </c>
      <c r="I1189" s="9">
        <v>2</v>
      </c>
      <c r="J1189" s="22">
        <f t="shared" si="12"/>
        <v>54414.100000000006</v>
      </c>
      <c r="K1189" s="9">
        <f t="array" ref="K1189">QUARTILE(IF($F$3:$F$1460=$F1189,$H$3:$H$1460),1)</f>
        <v>11441.9125</v>
      </c>
      <c r="L1189" s="9">
        <f t="array" ref="L1189">QUARTILE(IF($F$3:$F$1460=$F1189,$H$3:$H$1460),2)</f>
        <v>24241.455000000002</v>
      </c>
      <c r="M1189" s="9">
        <f t="array" ref="M1189">QUARTILE(IF($F$3:$F$1460=$F1189,$H$3:$H$1460),3)</f>
        <v>41877.177500000005</v>
      </c>
    </row>
    <row r="1190" spans="1:13" x14ac:dyDescent="0.25">
      <c r="A1190" s="7">
        <v>1231</v>
      </c>
      <c r="B1190" s="6" t="s">
        <v>97</v>
      </c>
      <c r="C1190" s="7">
        <v>4365968</v>
      </c>
      <c r="D1190" s="23" t="s">
        <v>1139</v>
      </c>
      <c r="E1190" s="6" t="s">
        <v>1140</v>
      </c>
      <c r="F1190" s="21" t="s">
        <v>76</v>
      </c>
      <c r="G1190" s="6" t="s">
        <v>1179</v>
      </c>
      <c r="H1190" s="22">
        <f>46826.45+7524*2</f>
        <v>61874.45</v>
      </c>
      <c r="I1190" s="9">
        <v>2</v>
      </c>
      <c r="J1190" s="22">
        <f t="shared" si="12"/>
        <v>123748.9</v>
      </c>
      <c r="K1190" s="9">
        <f t="array" ref="K1190">QUARTILE(IF($F$3:$F$1460=$F1190,$H$3:$H$1460),1)</f>
        <v>11441.9125</v>
      </c>
      <c r="L1190" s="9">
        <f t="array" ref="L1190">QUARTILE(IF($F$3:$F$1460=$F1190,$H$3:$H$1460),2)</f>
        <v>24241.455000000002</v>
      </c>
      <c r="M1190" s="9">
        <f t="array" ref="M1190">QUARTILE(IF($F$3:$F$1460=$F1190,$H$3:$H$1460),3)</f>
        <v>41877.177500000005</v>
      </c>
    </row>
    <row r="1191" spans="1:13" x14ac:dyDescent="0.25">
      <c r="A1191" s="7">
        <v>1232</v>
      </c>
      <c r="B1191" s="6" t="s">
        <v>97</v>
      </c>
      <c r="C1191" s="7">
        <v>4365968</v>
      </c>
      <c r="D1191" s="23" t="s">
        <v>1139</v>
      </c>
      <c r="E1191" s="6" t="s">
        <v>1140</v>
      </c>
      <c r="F1191" s="21" t="s">
        <v>17</v>
      </c>
      <c r="G1191" s="6" t="s">
        <v>1180</v>
      </c>
      <c r="H1191" s="22">
        <v>2483.1999999999998</v>
      </c>
      <c r="I1191" s="9">
        <v>2</v>
      </c>
      <c r="J1191" s="22">
        <f t="shared" si="12"/>
        <v>4966.3999999999996</v>
      </c>
      <c r="K1191" s="9">
        <f t="array" ref="K1191">QUARTILE(IF($F$3:$F$1460=$F1191,$H$3:$H$1460),1)</f>
        <v>17.549999999999997</v>
      </c>
      <c r="L1191" s="9">
        <f t="array" ref="L1191">QUARTILE(IF($F$3:$F$1460=$F1191,$H$3:$H$1460),2)</f>
        <v>275.8</v>
      </c>
      <c r="M1191" s="9">
        <f t="array" ref="M1191">QUARTILE(IF($F$3:$F$1460=$F1191,$H$3:$H$1460),3)</f>
        <v>11191.057499999999</v>
      </c>
    </row>
    <row r="1192" spans="1:13" x14ac:dyDescent="0.25">
      <c r="A1192" s="7">
        <v>1233</v>
      </c>
      <c r="B1192" s="6" t="s">
        <v>97</v>
      </c>
      <c r="C1192" s="7">
        <v>4365968</v>
      </c>
      <c r="D1192" s="23" t="s">
        <v>1139</v>
      </c>
      <c r="E1192" s="6" t="s">
        <v>1140</v>
      </c>
      <c r="F1192" s="21" t="s">
        <v>17</v>
      </c>
      <c r="G1192" s="6" t="s">
        <v>1181</v>
      </c>
      <c r="H1192" s="22">
        <v>3627.8</v>
      </c>
      <c r="I1192" s="9">
        <v>2</v>
      </c>
      <c r="J1192" s="22">
        <f t="shared" si="12"/>
        <v>7255.6</v>
      </c>
      <c r="K1192" s="9">
        <f t="array" ref="K1192">QUARTILE(IF($F$3:$F$1460=$F1192,$H$3:$H$1460),1)</f>
        <v>17.549999999999997</v>
      </c>
      <c r="L1192" s="9">
        <f t="array" ref="L1192">QUARTILE(IF($F$3:$F$1460=$F1192,$H$3:$H$1460),2)</f>
        <v>275.8</v>
      </c>
      <c r="M1192" s="9">
        <f t="array" ref="M1192">QUARTILE(IF($F$3:$F$1460=$F1192,$H$3:$H$1460),3)</f>
        <v>11191.057499999999</v>
      </c>
    </row>
    <row r="1193" spans="1:13" x14ac:dyDescent="0.25">
      <c r="A1193" s="7">
        <v>1234</v>
      </c>
      <c r="B1193" s="6" t="s">
        <v>97</v>
      </c>
      <c r="C1193" s="7">
        <v>4365968</v>
      </c>
      <c r="D1193" s="23" t="s">
        <v>1139</v>
      </c>
      <c r="E1193" s="6" t="s">
        <v>1140</v>
      </c>
      <c r="F1193" s="21" t="s">
        <v>17</v>
      </c>
      <c r="G1193" s="6" t="s">
        <v>1182</v>
      </c>
      <c r="H1193" s="22">
        <v>169.75</v>
      </c>
      <c r="I1193" s="9">
        <v>5</v>
      </c>
      <c r="J1193" s="22">
        <f t="shared" ref="J1193:J1257" si="13">I1193*H1193</f>
        <v>848.75</v>
      </c>
      <c r="K1193" s="9">
        <f t="array" ref="K1193">QUARTILE(IF($F$3:$F$1460=$F1193,$H$3:$H$1460),1)</f>
        <v>17.549999999999997</v>
      </c>
      <c r="L1193" s="9">
        <f t="array" ref="L1193">QUARTILE(IF($F$3:$F$1460=$F1193,$H$3:$H$1460),2)</f>
        <v>275.8</v>
      </c>
      <c r="M1193" s="9">
        <f t="array" ref="M1193">QUARTILE(IF($F$3:$F$1460=$F1193,$H$3:$H$1460),3)</f>
        <v>11191.057499999999</v>
      </c>
    </row>
    <row r="1194" spans="1:13" ht="17.25" customHeight="1" x14ac:dyDescent="0.25">
      <c r="A1194" s="7">
        <v>1235</v>
      </c>
      <c r="B1194" s="6" t="s">
        <v>97</v>
      </c>
      <c r="C1194" s="7">
        <v>4365968</v>
      </c>
      <c r="D1194" s="23" t="s">
        <v>1139</v>
      </c>
      <c r="E1194" s="6" t="s">
        <v>1140</v>
      </c>
      <c r="F1194" s="21" t="s">
        <v>68</v>
      </c>
      <c r="G1194" s="45" t="s">
        <v>1183</v>
      </c>
      <c r="H1194" s="22">
        <v>152602.53</v>
      </c>
      <c r="I1194" s="9">
        <v>2</v>
      </c>
      <c r="J1194" s="22">
        <f t="shared" si="13"/>
        <v>305205.06</v>
      </c>
      <c r="K1194" s="9">
        <f t="array" ref="K1194">QUARTILE(IF($F$3:$F$1460=$F1194,$H$3:$H$1460),1)</f>
        <v>2032</v>
      </c>
      <c r="L1194" s="9">
        <f t="array" ref="L1194">QUARTILE(IF($F$3:$F$1460=$F1194,$H$3:$H$1460),2)</f>
        <v>19360</v>
      </c>
      <c r="M1194" s="9">
        <f t="array" ref="M1194">QUARTILE(IF($F$3:$F$1460=$F1194,$H$3:$H$1460),3)</f>
        <v>87628.37</v>
      </c>
    </row>
    <row r="1195" spans="1:13" ht="15.75" customHeight="1" x14ac:dyDescent="0.25">
      <c r="A1195" s="7">
        <v>1236</v>
      </c>
      <c r="B1195" s="6" t="s">
        <v>97</v>
      </c>
      <c r="C1195" s="7">
        <v>4365968</v>
      </c>
      <c r="D1195" s="23" t="s">
        <v>1139</v>
      </c>
      <c r="E1195" s="6" t="s">
        <v>1140</v>
      </c>
      <c r="F1195" s="21" t="s">
        <v>68</v>
      </c>
      <c r="G1195" s="45" t="s">
        <v>1184</v>
      </c>
      <c r="H1195" s="22">
        <v>255693.74</v>
      </c>
      <c r="I1195" s="9">
        <v>1</v>
      </c>
      <c r="J1195" s="22">
        <f t="shared" si="13"/>
        <v>255693.74</v>
      </c>
      <c r="K1195" s="9">
        <f t="array" ref="K1195">QUARTILE(IF($F$3:$F$1460=$F1195,$H$3:$H$1460),1)</f>
        <v>2032</v>
      </c>
      <c r="L1195" s="9">
        <f t="array" ref="L1195">QUARTILE(IF($F$3:$F$1460=$F1195,$H$3:$H$1460),2)</f>
        <v>19360</v>
      </c>
      <c r="M1195" s="9">
        <f t="array" ref="M1195">QUARTILE(IF($F$3:$F$1460=$F1195,$H$3:$H$1460),3)</f>
        <v>87628.37</v>
      </c>
    </row>
    <row r="1196" spans="1:13" x14ac:dyDescent="0.25">
      <c r="A1196" s="7">
        <v>1237</v>
      </c>
      <c r="B1196" s="6" t="s">
        <v>97</v>
      </c>
      <c r="C1196" s="7">
        <v>4365968</v>
      </c>
      <c r="D1196" s="23" t="s">
        <v>1139</v>
      </c>
      <c r="E1196" s="6" t="s">
        <v>1140</v>
      </c>
      <c r="F1196" s="21" t="s">
        <v>17</v>
      </c>
      <c r="G1196" s="6" t="s">
        <v>1185</v>
      </c>
      <c r="H1196" s="22">
        <v>126150.79</v>
      </c>
      <c r="I1196" s="9">
        <v>1</v>
      </c>
      <c r="J1196" s="22">
        <f t="shared" si="13"/>
        <v>126150.79</v>
      </c>
      <c r="K1196" s="9">
        <f t="array" ref="K1196">QUARTILE(IF($F$3:$F$1460=$F1196,$H$3:$H$1460),1)</f>
        <v>17.549999999999997</v>
      </c>
      <c r="L1196" s="9">
        <f t="array" ref="L1196">QUARTILE(IF($F$3:$F$1460=$F1196,$H$3:$H$1460),2)</f>
        <v>275.8</v>
      </c>
      <c r="M1196" s="9">
        <f t="array" ref="M1196">QUARTILE(IF($F$3:$F$1460=$F1196,$H$3:$H$1460),3)</f>
        <v>11191.057499999999</v>
      </c>
    </row>
    <row r="1197" spans="1:13" x14ac:dyDescent="0.25">
      <c r="A1197" s="7">
        <v>1238</v>
      </c>
      <c r="B1197" s="6" t="s">
        <v>97</v>
      </c>
      <c r="C1197" s="7">
        <v>4365968</v>
      </c>
      <c r="D1197" s="23" t="s">
        <v>1139</v>
      </c>
      <c r="E1197" s="6" t="s">
        <v>1140</v>
      </c>
      <c r="F1197" s="21" t="s">
        <v>17</v>
      </c>
      <c r="G1197" s="6" t="s">
        <v>1186</v>
      </c>
      <c r="H1197" s="22">
        <v>131295.04000000001</v>
      </c>
      <c r="I1197" s="9">
        <v>1</v>
      </c>
      <c r="J1197" s="22">
        <f t="shared" si="13"/>
        <v>131295.04000000001</v>
      </c>
      <c r="K1197" s="9">
        <f t="array" ref="K1197">QUARTILE(IF($F$3:$F$1460=$F1197,$H$3:$H$1460),1)</f>
        <v>17.549999999999997</v>
      </c>
      <c r="L1197" s="9">
        <f t="array" ref="L1197">QUARTILE(IF($F$3:$F$1460=$F1197,$H$3:$H$1460),2)</f>
        <v>275.8</v>
      </c>
      <c r="M1197" s="9">
        <f t="array" ref="M1197">QUARTILE(IF($F$3:$F$1460=$F1197,$H$3:$H$1460),3)</f>
        <v>11191.057499999999</v>
      </c>
    </row>
    <row r="1198" spans="1:13" x14ac:dyDescent="0.25">
      <c r="A1198" s="7">
        <v>1239</v>
      </c>
      <c r="B1198" s="6" t="s">
        <v>97</v>
      </c>
      <c r="C1198" s="7">
        <v>4365968</v>
      </c>
      <c r="D1198" s="23" t="s">
        <v>1139</v>
      </c>
      <c r="E1198" s="6" t="s">
        <v>1140</v>
      </c>
      <c r="F1198" s="21" t="s">
        <v>49</v>
      </c>
      <c r="G1198" s="6" t="s">
        <v>1187</v>
      </c>
      <c r="H1198" s="22">
        <v>8259.4500000000007</v>
      </c>
      <c r="I1198" s="9">
        <v>4</v>
      </c>
      <c r="J1198" s="22">
        <f t="shared" si="13"/>
        <v>33037.800000000003</v>
      </c>
      <c r="K1198" s="9">
        <f t="array" ref="K1198">QUARTILE(IF($F$3:$F$1460=$F1198,$H$3:$H$1460),1)</f>
        <v>289</v>
      </c>
      <c r="L1198" s="9">
        <f t="array" ref="L1198">QUARTILE(IF($F$3:$F$1460=$F1198,$H$3:$H$1460),2)</f>
        <v>8259.4500000000007</v>
      </c>
      <c r="M1198" s="9">
        <f t="array" ref="M1198">QUARTILE(IF($F$3:$F$1460=$F1198,$H$3:$H$1460),3)</f>
        <v>40374.120000000003</v>
      </c>
    </row>
    <row r="1199" spans="1:13" x14ac:dyDescent="0.25">
      <c r="A1199" s="7">
        <v>1240</v>
      </c>
      <c r="B1199" s="6" t="s">
        <v>97</v>
      </c>
      <c r="C1199" s="7">
        <v>4365968</v>
      </c>
      <c r="D1199" s="23" t="s">
        <v>1139</v>
      </c>
      <c r="E1199" s="6" t="s">
        <v>1140</v>
      </c>
      <c r="F1199" s="21" t="s">
        <v>49</v>
      </c>
      <c r="G1199" s="6" t="s">
        <v>1188</v>
      </c>
      <c r="H1199" s="22">
        <v>40374.120000000003</v>
      </c>
      <c r="I1199" s="9">
        <v>2</v>
      </c>
      <c r="J1199" s="22">
        <f t="shared" si="13"/>
        <v>80748.240000000005</v>
      </c>
      <c r="K1199" s="9">
        <f t="array" ref="K1199">QUARTILE(IF($F$3:$F$1460=$F1199,$H$3:$H$1460),1)</f>
        <v>289</v>
      </c>
      <c r="L1199" s="9">
        <f t="array" ref="L1199">QUARTILE(IF($F$3:$F$1460=$F1199,$H$3:$H$1460),2)</f>
        <v>8259.4500000000007</v>
      </c>
      <c r="M1199" s="9">
        <f t="array" ref="M1199">QUARTILE(IF($F$3:$F$1460=$F1199,$H$3:$H$1460),3)</f>
        <v>40374.120000000003</v>
      </c>
    </row>
    <row r="1200" spans="1:13" x14ac:dyDescent="0.25">
      <c r="A1200" s="7">
        <v>1241</v>
      </c>
      <c r="B1200" s="6" t="s">
        <v>97</v>
      </c>
      <c r="C1200" s="7">
        <v>4365968</v>
      </c>
      <c r="D1200" s="23" t="s">
        <v>1139</v>
      </c>
      <c r="E1200" s="6" t="s">
        <v>1140</v>
      </c>
      <c r="F1200" s="21" t="s">
        <v>49</v>
      </c>
      <c r="G1200" s="6" t="s">
        <v>1189</v>
      </c>
      <c r="H1200" s="22">
        <v>162373.04999999999</v>
      </c>
      <c r="I1200" s="9">
        <v>1</v>
      </c>
      <c r="J1200" s="22">
        <f t="shared" si="13"/>
        <v>162373.04999999999</v>
      </c>
      <c r="K1200" s="9">
        <f t="array" ref="K1200">QUARTILE(IF($F$3:$F$1460=$F1200,$H$3:$H$1460),1)</f>
        <v>289</v>
      </c>
      <c r="L1200" s="9">
        <f t="array" ref="L1200">QUARTILE(IF($F$3:$F$1460=$F1200,$H$3:$H$1460),2)</f>
        <v>8259.4500000000007</v>
      </c>
      <c r="M1200" s="9">
        <f t="array" ref="M1200">QUARTILE(IF($F$3:$F$1460=$F1200,$H$3:$H$1460),3)</f>
        <v>40374.120000000003</v>
      </c>
    </row>
    <row r="1201" spans="1:13" x14ac:dyDescent="0.25">
      <c r="A1201" s="7">
        <v>1242</v>
      </c>
      <c r="B1201" s="6" t="s">
        <v>97</v>
      </c>
      <c r="C1201" s="7">
        <v>4365968</v>
      </c>
      <c r="D1201" s="23" t="s">
        <v>1139</v>
      </c>
      <c r="E1201" s="6" t="s">
        <v>1140</v>
      </c>
      <c r="F1201" s="21" t="s">
        <v>580</v>
      </c>
      <c r="G1201" s="6" t="s">
        <v>1190</v>
      </c>
      <c r="H1201" s="22">
        <v>9127.41</v>
      </c>
      <c r="I1201" s="9">
        <v>6</v>
      </c>
      <c r="J1201" s="22">
        <f t="shared" si="13"/>
        <v>54764.46</v>
      </c>
      <c r="K1201" s="9">
        <f t="array" ref="K1201">QUARTILE(IF($F$3:$F$1460=$F1201,$H$3:$H$1460),1)</f>
        <v>1759.125</v>
      </c>
      <c r="L1201" s="9">
        <f t="array" ref="L1201">QUARTILE(IF($F$3:$F$1460=$F1201,$H$3:$H$1460),2)</f>
        <v>3923.7249999999999</v>
      </c>
      <c r="M1201" s="9">
        <f t="array" ref="M1201">QUARTILE(IF($F$3:$F$1460=$F1201,$H$3:$H$1460),3)</f>
        <v>12062.504999999999</v>
      </c>
    </row>
    <row r="1202" spans="1:13" x14ac:dyDescent="0.25">
      <c r="A1202" s="7">
        <v>1243</v>
      </c>
      <c r="B1202" s="6" t="s">
        <v>97</v>
      </c>
      <c r="C1202" s="7">
        <v>4365968</v>
      </c>
      <c r="D1202" s="23" t="s">
        <v>1139</v>
      </c>
      <c r="E1202" s="6" t="s">
        <v>1140</v>
      </c>
      <c r="F1202" s="21" t="s">
        <v>580</v>
      </c>
      <c r="G1202" s="6" t="s">
        <v>1191</v>
      </c>
      <c r="H1202" s="22">
        <v>12703.8</v>
      </c>
      <c r="I1202" s="9">
        <v>4</v>
      </c>
      <c r="J1202" s="22">
        <f t="shared" si="13"/>
        <v>50815.199999999997</v>
      </c>
      <c r="K1202" s="9">
        <f t="array" ref="K1202">QUARTILE(IF($F$3:$F$1460=$F1202,$H$3:$H$1460),1)</f>
        <v>1759.125</v>
      </c>
      <c r="L1202" s="9">
        <f t="array" ref="L1202">QUARTILE(IF($F$3:$F$1460=$F1202,$H$3:$H$1460),2)</f>
        <v>3923.7249999999999</v>
      </c>
      <c r="M1202" s="9">
        <f t="array" ref="M1202">QUARTILE(IF($F$3:$F$1460=$F1202,$H$3:$H$1460),3)</f>
        <v>12062.504999999999</v>
      </c>
    </row>
    <row r="1203" spans="1:13" x14ac:dyDescent="0.25">
      <c r="A1203" s="7">
        <v>1244</v>
      </c>
      <c r="B1203" s="6" t="s">
        <v>97</v>
      </c>
      <c r="C1203" s="7">
        <v>4365968</v>
      </c>
      <c r="D1203" s="23" t="s">
        <v>1139</v>
      </c>
      <c r="E1203" s="6" t="s">
        <v>1140</v>
      </c>
      <c r="F1203" s="21" t="s">
        <v>580</v>
      </c>
      <c r="G1203" s="6" t="s">
        <v>1192</v>
      </c>
      <c r="H1203" s="22">
        <v>14807.24</v>
      </c>
      <c r="I1203" s="9">
        <v>4</v>
      </c>
      <c r="J1203" s="22">
        <f t="shared" si="13"/>
        <v>59228.959999999999</v>
      </c>
      <c r="K1203" s="9">
        <f t="array" ref="K1203">QUARTILE(IF($F$3:$F$1460=$F1203,$H$3:$H$1460),1)</f>
        <v>1759.125</v>
      </c>
      <c r="L1203" s="9">
        <f t="array" ref="L1203">QUARTILE(IF($F$3:$F$1460=$F1203,$H$3:$H$1460),2)</f>
        <v>3923.7249999999999</v>
      </c>
      <c r="M1203" s="9">
        <f t="array" ref="M1203">QUARTILE(IF($F$3:$F$1460=$F1203,$H$3:$H$1460),3)</f>
        <v>12062.504999999999</v>
      </c>
    </row>
    <row r="1204" spans="1:13" x14ac:dyDescent="0.25">
      <c r="A1204" s="7">
        <v>1245</v>
      </c>
      <c r="B1204" s="6" t="s">
        <v>97</v>
      </c>
      <c r="C1204" s="7">
        <v>4365968</v>
      </c>
      <c r="D1204" s="23" t="s">
        <v>1139</v>
      </c>
      <c r="E1204" s="6" t="s">
        <v>1140</v>
      </c>
      <c r="F1204" s="21" t="s">
        <v>580</v>
      </c>
      <c r="G1204" s="6" t="s">
        <v>1193</v>
      </c>
      <c r="H1204" s="22">
        <v>69630.13</v>
      </c>
      <c r="I1204" s="9">
        <v>2</v>
      </c>
      <c r="J1204" s="22">
        <f t="shared" si="13"/>
        <v>139260.26</v>
      </c>
      <c r="K1204" s="9">
        <f t="array" ref="K1204">QUARTILE(IF($F$3:$F$1460=$F1204,$H$3:$H$1460),1)</f>
        <v>1759.125</v>
      </c>
      <c r="L1204" s="9">
        <f t="array" ref="L1204">QUARTILE(IF($F$3:$F$1460=$F1204,$H$3:$H$1460),2)</f>
        <v>3923.7249999999999</v>
      </c>
      <c r="M1204" s="9">
        <f t="array" ref="M1204">QUARTILE(IF($F$3:$F$1460=$F1204,$H$3:$H$1460),3)</f>
        <v>12062.504999999999</v>
      </c>
    </row>
    <row r="1205" spans="1:13" x14ac:dyDescent="0.25">
      <c r="A1205" s="7">
        <v>1246</v>
      </c>
      <c r="B1205" s="6" t="s">
        <v>97</v>
      </c>
      <c r="C1205" s="7">
        <v>4365968</v>
      </c>
      <c r="D1205" s="23" t="s">
        <v>1139</v>
      </c>
      <c r="E1205" s="6" t="s">
        <v>1140</v>
      </c>
      <c r="F1205" s="21" t="s">
        <v>580</v>
      </c>
      <c r="G1205" s="6" t="s">
        <v>1194</v>
      </c>
      <c r="H1205" s="22">
        <v>59454.31</v>
      </c>
      <c r="I1205" s="9">
        <v>1</v>
      </c>
      <c r="J1205" s="22">
        <f t="shared" si="13"/>
        <v>59454.31</v>
      </c>
      <c r="K1205" s="9">
        <f t="array" ref="K1205">QUARTILE(IF($F$3:$F$1460=$F1205,$H$3:$H$1460),1)</f>
        <v>1759.125</v>
      </c>
      <c r="L1205" s="9">
        <f t="array" ref="L1205">QUARTILE(IF($F$3:$F$1460=$F1205,$H$3:$H$1460),2)</f>
        <v>3923.7249999999999</v>
      </c>
      <c r="M1205" s="9">
        <f t="array" ref="M1205">QUARTILE(IF($F$3:$F$1460=$F1205,$H$3:$H$1460),3)</f>
        <v>12062.504999999999</v>
      </c>
    </row>
    <row r="1206" spans="1:13" x14ac:dyDescent="0.25">
      <c r="A1206" s="7">
        <v>1247</v>
      </c>
      <c r="B1206" s="6" t="s">
        <v>97</v>
      </c>
      <c r="C1206" s="7">
        <v>4365968</v>
      </c>
      <c r="D1206" s="23" t="s">
        <v>1139</v>
      </c>
      <c r="E1206" s="6" t="s">
        <v>1140</v>
      </c>
      <c r="F1206" s="21" t="s">
        <v>580</v>
      </c>
      <c r="G1206" s="6" t="s">
        <v>1195</v>
      </c>
      <c r="H1206" s="22">
        <v>40440</v>
      </c>
      <c r="I1206" s="9">
        <v>2</v>
      </c>
      <c r="J1206" s="22">
        <f t="shared" si="13"/>
        <v>80880</v>
      </c>
      <c r="K1206" s="9">
        <f t="array" ref="K1206">QUARTILE(IF($F$3:$F$1460=$F1206,$H$3:$H$1460),1)</f>
        <v>1759.125</v>
      </c>
      <c r="L1206" s="9">
        <f t="array" ref="L1206">QUARTILE(IF($F$3:$F$1460=$F1206,$H$3:$H$1460),2)</f>
        <v>3923.7249999999999</v>
      </c>
      <c r="M1206" s="9">
        <f t="array" ref="M1206">QUARTILE(IF($F$3:$F$1460=$F1206,$H$3:$H$1460),3)</f>
        <v>12062.504999999999</v>
      </c>
    </row>
    <row r="1207" spans="1:13" x14ac:dyDescent="0.25">
      <c r="A1207" s="7">
        <v>1248</v>
      </c>
      <c r="B1207" s="6" t="s">
        <v>97</v>
      </c>
      <c r="C1207" s="7">
        <v>4365968</v>
      </c>
      <c r="D1207" s="23" t="s">
        <v>1139</v>
      </c>
      <c r="E1207" s="6" t="s">
        <v>1140</v>
      </c>
      <c r="F1207" s="21" t="s">
        <v>580</v>
      </c>
      <c r="G1207" s="6" t="s">
        <v>1196</v>
      </c>
      <c r="H1207" s="22">
        <v>11848.74</v>
      </c>
      <c r="I1207" s="9">
        <v>4</v>
      </c>
      <c r="J1207" s="22">
        <f t="shared" si="13"/>
        <v>47394.96</v>
      </c>
      <c r="K1207" s="9">
        <f t="array" ref="K1207">QUARTILE(IF($F$3:$F$1460=$F1207,$H$3:$H$1460),1)</f>
        <v>1759.125</v>
      </c>
      <c r="L1207" s="9">
        <f t="array" ref="L1207">QUARTILE(IF($F$3:$F$1460=$F1207,$H$3:$H$1460),2)</f>
        <v>3923.7249999999999</v>
      </c>
      <c r="M1207" s="9">
        <f t="array" ref="M1207">QUARTILE(IF($F$3:$F$1460=$F1207,$H$3:$H$1460),3)</f>
        <v>12062.504999999999</v>
      </c>
    </row>
    <row r="1208" spans="1:13" x14ac:dyDescent="0.25">
      <c r="A1208" s="7">
        <v>1249</v>
      </c>
      <c r="B1208" s="6" t="s">
        <v>97</v>
      </c>
      <c r="C1208" s="7">
        <v>4365968</v>
      </c>
      <c r="D1208" s="23" t="s">
        <v>1139</v>
      </c>
      <c r="E1208" s="6" t="s">
        <v>1140</v>
      </c>
      <c r="F1208" s="21" t="s">
        <v>53</v>
      </c>
      <c r="G1208" s="6" t="s">
        <v>1197</v>
      </c>
      <c r="H1208" s="22">
        <v>875.43</v>
      </c>
      <c r="I1208" s="9">
        <v>1</v>
      </c>
      <c r="J1208" s="22">
        <f t="shared" si="13"/>
        <v>875.43</v>
      </c>
      <c r="K1208" s="9">
        <f t="array" ref="K1208">QUARTILE(IF($F$3:$F$1460=$F1208,$H$3:$H$1460),1)</f>
        <v>372.55833333333334</v>
      </c>
      <c r="L1208" s="9">
        <f t="array" ref="L1208">QUARTILE(IF($F$3:$F$1460=$F1208,$H$3:$H$1460),2)</f>
        <v>508.75000000000006</v>
      </c>
      <c r="M1208" s="9">
        <f t="array" ref="M1208">QUARTILE(IF($F$3:$F$1460=$F1208,$H$3:$H$1460),3)</f>
        <v>725.7166666666667</v>
      </c>
    </row>
    <row r="1209" spans="1:13" x14ac:dyDescent="0.25">
      <c r="A1209" s="7">
        <v>1250</v>
      </c>
      <c r="B1209" s="6" t="s">
        <v>97</v>
      </c>
      <c r="C1209" s="7">
        <v>4365968</v>
      </c>
      <c r="D1209" s="23" t="s">
        <v>1139</v>
      </c>
      <c r="E1209" s="6" t="s">
        <v>1140</v>
      </c>
      <c r="F1209" s="21" t="s">
        <v>53</v>
      </c>
      <c r="G1209" s="6" t="s">
        <v>1198</v>
      </c>
      <c r="H1209" s="22">
        <v>329.8</v>
      </c>
      <c r="I1209" s="9">
        <v>10</v>
      </c>
      <c r="J1209" s="22">
        <f t="shared" si="13"/>
        <v>3298</v>
      </c>
      <c r="K1209" s="9">
        <f t="array" ref="K1209">QUARTILE(IF($F$3:$F$1460=$F1209,$H$3:$H$1460),1)</f>
        <v>372.55833333333334</v>
      </c>
      <c r="L1209" s="9">
        <f t="array" ref="L1209">QUARTILE(IF($F$3:$F$1460=$F1209,$H$3:$H$1460),2)</f>
        <v>508.75000000000006</v>
      </c>
      <c r="M1209" s="9">
        <f t="array" ref="M1209">QUARTILE(IF($F$3:$F$1460=$F1209,$H$3:$H$1460),3)</f>
        <v>725.7166666666667</v>
      </c>
    </row>
    <row r="1210" spans="1:13" x14ac:dyDescent="0.25">
      <c r="A1210" s="7">
        <v>1251</v>
      </c>
      <c r="B1210" s="6" t="s">
        <v>97</v>
      </c>
      <c r="C1210" s="7">
        <v>4365968</v>
      </c>
      <c r="D1210" s="23" t="s">
        <v>1139</v>
      </c>
      <c r="E1210" s="6" t="s">
        <v>1140</v>
      </c>
      <c r="F1210" s="21" t="s">
        <v>53</v>
      </c>
      <c r="G1210" s="6" t="s">
        <v>1199</v>
      </c>
      <c r="H1210" s="22">
        <v>795.4</v>
      </c>
      <c r="I1210" s="9">
        <v>5</v>
      </c>
      <c r="J1210" s="22">
        <f t="shared" si="13"/>
        <v>3977</v>
      </c>
      <c r="K1210" s="9">
        <f t="array" ref="K1210">QUARTILE(IF($F$3:$F$1460=$F1210,$H$3:$H$1460),1)</f>
        <v>372.55833333333334</v>
      </c>
      <c r="L1210" s="9">
        <f t="array" ref="L1210">QUARTILE(IF($F$3:$F$1460=$F1210,$H$3:$H$1460),2)</f>
        <v>508.75000000000006</v>
      </c>
      <c r="M1210" s="9">
        <f t="array" ref="M1210">QUARTILE(IF($F$3:$F$1460=$F1210,$H$3:$H$1460),3)</f>
        <v>725.7166666666667</v>
      </c>
    </row>
    <row r="1211" spans="1:13" x14ac:dyDescent="0.25">
      <c r="A1211" s="7">
        <v>1252</v>
      </c>
      <c r="B1211" s="6" t="s">
        <v>97</v>
      </c>
      <c r="C1211" s="7">
        <v>4365968</v>
      </c>
      <c r="D1211" s="23" t="s">
        <v>1139</v>
      </c>
      <c r="E1211" s="6" t="s">
        <v>1140</v>
      </c>
      <c r="F1211" s="21" t="s">
        <v>79</v>
      </c>
      <c r="G1211" s="6" t="s">
        <v>1200</v>
      </c>
      <c r="H1211" s="22">
        <v>60471.06</v>
      </c>
      <c r="I1211" s="9">
        <v>2</v>
      </c>
      <c r="J1211" s="22">
        <f t="shared" si="13"/>
        <v>120942.12</v>
      </c>
      <c r="K1211" s="9">
        <f t="array" ref="K1211">QUARTILE(IF($F$3:$F$1460=$F1211,$H$3:$H$1460),1)</f>
        <v>17598.830000000002</v>
      </c>
      <c r="L1211" s="9">
        <f t="array" ref="L1211">QUARTILE(IF($F$3:$F$1460=$F1211,$H$3:$H$1460),2)</f>
        <v>60471.06</v>
      </c>
      <c r="M1211" s="9">
        <f t="array" ref="M1211">QUARTILE(IF($F$3:$F$1460=$F1211,$H$3:$H$1460),3)</f>
        <v>139860.215</v>
      </c>
    </row>
    <row r="1212" spans="1:13" x14ac:dyDescent="0.25">
      <c r="A1212" s="7">
        <v>1253</v>
      </c>
      <c r="B1212" s="6" t="s">
        <v>97</v>
      </c>
      <c r="C1212" s="7">
        <v>4365968</v>
      </c>
      <c r="D1212" s="23" t="s">
        <v>1139</v>
      </c>
      <c r="E1212" s="6" t="s">
        <v>1140</v>
      </c>
      <c r="F1212" s="21" t="s">
        <v>79</v>
      </c>
      <c r="G1212" s="6" t="s">
        <v>1201</v>
      </c>
      <c r="H1212" s="22">
        <v>148243.54999999999</v>
      </c>
      <c r="I1212" s="9">
        <v>2</v>
      </c>
      <c r="J1212" s="22">
        <f t="shared" si="13"/>
        <v>296487.09999999998</v>
      </c>
      <c r="K1212" s="9">
        <f t="array" ref="K1212">QUARTILE(IF($F$3:$F$1460=$F1212,$H$3:$H$1460),1)</f>
        <v>17598.830000000002</v>
      </c>
      <c r="L1212" s="9">
        <f t="array" ref="L1212">QUARTILE(IF($F$3:$F$1460=$F1212,$H$3:$H$1460),2)</f>
        <v>60471.06</v>
      </c>
      <c r="M1212" s="9">
        <f t="array" ref="M1212">QUARTILE(IF($F$3:$F$1460=$F1212,$H$3:$H$1460),3)</f>
        <v>139860.215</v>
      </c>
    </row>
    <row r="1213" spans="1:13" x14ac:dyDescent="0.25">
      <c r="A1213" s="7">
        <v>1254</v>
      </c>
      <c r="B1213" s="6" t="s">
        <v>97</v>
      </c>
      <c r="C1213" s="7">
        <v>4365968</v>
      </c>
      <c r="D1213" s="23" t="s">
        <v>1139</v>
      </c>
      <c r="E1213" s="6" t="s">
        <v>1140</v>
      </c>
      <c r="F1213" s="21" t="s">
        <v>79</v>
      </c>
      <c r="G1213" s="6" t="s">
        <v>1202</v>
      </c>
      <c r="H1213" s="22">
        <f>195370.12</f>
        <v>195370.12</v>
      </c>
      <c r="I1213" s="9">
        <v>2</v>
      </c>
      <c r="J1213" s="22">
        <f t="shared" si="13"/>
        <v>390740.24</v>
      </c>
      <c r="K1213" s="9">
        <f t="array" ref="K1213">QUARTILE(IF($F$3:$F$1460=$F1213,$H$3:$H$1460),1)</f>
        <v>17598.830000000002</v>
      </c>
      <c r="L1213" s="9">
        <f t="array" ref="L1213">QUARTILE(IF($F$3:$F$1460=$F1213,$H$3:$H$1460),2)</f>
        <v>60471.06</v>
      </c>
      <c r="M1213" s="9">
        <f t="array" ref="M1213">QUARTILE(IF($F$3:$F$1460=$F1213,$H$3:$H$1460),3)</f>
        <v>139860.215</v>
      </c>
    </row>
    <row r="1214" spans="1:13" x14ac:dyDescent="0.25">
      <c r="A1214" s="7">
        <v>1255</v>
      </c>
      <c r="B1214" s="6" t="s">
        <v>97</v>
      </c>
      <c r="C1214" s="7">
        <v>4365968</v>
      </c>
      <c r="D1214" s="23" t="s">
        <v>1139</v>
      </c>
      <c r="E1214" s="6" t="s">
        <v>1140</v>
      </c>
      <c r="F1214" s="21" t="s">
        <v>79</v>
      </c>
      <c r="G1214" s="6" t="s">
        <v>1203</v>
      </c>
      <c r="H1214" s="22">
        <f>359344.13+2*153505.12+139657.96</f>
        <v>806012.33</v>
      </c>
      <c r="I1214" s="9">
        <v>1</v>
      </c>
      <c r="J1214" s="22">
        <f t="shared" si="13"/>
        <v>806012.33</v>
      </c>
      <c r="K1214" s="9">
        <f t="array" ref="K1214">QUARTILE(IF($F$3:$F$1460=$F1214,$H$3:$H$1460),1)</f>
        <v>17598.830000000002</v>
      </c>
      <c r="L1214" s="9">
        <f t="array" ref="L1214">QUARTILE(IF($F$3:$F$1460=$F1214,$H$3:$H$1460),2)</f>
        <v>60471.06</v>
      </c>
      <c r="M1214" s="9">
        <f t="array" ref="M1214">QUARTILE(IF($F$3:$F$1460=$F1214,$H$3:$H$1460),3)</f>
        <v>139860.215</v>
      </c>
    </row>
    <row r="1215" spans="1:13" x14ac:dyDescent="0.25">
      <c r="A1215" s="7">
        <v>1256</v>
      </c>
      <c r="B1215" s="6" t="s">
        <v>97</v>
      </c>
      <c r="C1215" s="7">
        <v>4365968</v>
      </c>
      <c r="D1215" s="23" t="s">
        <v>1139</v>
      </c>
      <c r="E1215" s="6" t="s">
        <v>1140</v>
      </c>
      <c r="F1215" s="21" t="s">
        <v>75</v>
      </c>
      <c r="G1215" s="45" t="s">
        <v>1204</v>
      </c>
      <c r="H1215" s="22">
        <v>94770</v>
      </c>
      <c r="I1215" s="9">
        <v>1</v>
      </c>
      <c r="J1215" s="22">
        <f t="shared" si="13"/>
        <v>94770</v>
      </c>
      <c r="K1215" s="9">
        <f t="array" ref="K1215">QUARTILE(IF($F$3:$F$1460=$F1215,$H$3:$H$1460),1)</f>
        <v>7209.15</v>
      </c>
      <c r="L1215" s="9">
        <f t="array" ref="L1215">QUARTILE(IF($F$3:$F$1460=$F1215,$H$3:$H$1460),2)</f>
        <v>15534.78</v>
      </c>
      <c r="M1215" s="9">
        <f t="array" ref="M1215">QUARTILE(IF($F$3:$F$1460=$F1215,$H$3:$H$1460),3)</f>
        <v>29950.799999999999</v>
      </c>
    </row>
    <row r="1216" spans="1:13" x14ac:dyDescent="0.25">
      <c r="A1216" s="7">
        <v>1257</v>
      </c>
      <c r="B1216" s="6" t="s">
        <v>97</v>
      </c>
      <c r="C1216" s="7">
        <v>4365968</v>
      </c>
      <c r="D1216" s="23" t="s">
        <v>1139</v>
      </c>
      <c r="E1216" s="6" t="s">
        <v>1140</v>
      </c>
      <c r="F1216" s="21" t="s">
        <v>17</v>
      </c>
      <c r="G1216" s="6" t="s">
        <v>1205</v>
      </c>
      <c r="H1216" s="22">
        <v>23.28</v>
      </c>
      <c r="I1216" s="9">
        <v>1000</v>
      </c>
      <c r="J1216" s="22">
        <f t="shared" si="13"/>
        <v>23280</v>
      </c>
      <c r="K1216" s="9">
        <f t="array" ref="K1216">QUARTILE(IF($F$3:$F$1460=$F1216,$H$3:$H$1460),1)</f>
        <v>17.549999999999997</v>
      </c>
      <c r="L1216" s="9">
        <f t="array" ref="L1216">QUARTILE(IF($F$3:$F$1460=$F1216,$H$3:$H$1460),2)</f>
        <v>275.8</v>
      </c>
      <c r="M1216" s="9">
        <f t="array" ref="M1216">QUARTILE(IF($F$3:$F$1460=$F1216,$H$3:$H$1460),3)</f>
        <v>11191.057499999999</v>
      </c>
    </row>
    <row r="1217" spans="1:13" x14ac:dyDescent="0.25">
      <c r="A1217" s="7">
        <v>1258</v>
      </c>
      <c r="B1217" s="6" t="s">
        <v>97</v>
      </c>
      <c r="C1217" s="7">
        <v>4365968</v>
      </c>
      <c r="D1217" s="23" t="s">
        <v>1139</v>
      </c>
      <c r="E1217" s="6" t="s">
        <v>1140</v>
      </c>
      <c r="F1217" s="21" t="s">
        <v>17</v>
      </c>
      <c r="G1217" s="6" t="s">
        <v>1206</v>
      </c>
      <c r="H1217" s="22">
        <v>13.58</v>
      </c>
      <c r="I1217" s="9">
        <v>100</v>
      </c>
      <c r="J1217" s="22">
        <f t="shared" si="13"/>
        <v>1358</v>
      </c>
      <c r="K1217" s="9">
        <f t="array" ref="K1217">QUARTILE(IF($F$3:$F$1460=$F1217,$H$3:$H$1460),1)</f>
        <v>17.549999999999997</v>
      </c>
      <c r="L1217" s="9">
        <f t="array" ref="L1217">QUARTILE(IF($F$3:$F$1460=$F1217,$H$3:$H$1460),2)</f>
        <v>275.8</v>
      </c>
      <c r="M1217" s="9">
        <f t="array" ref="M1217">QUARTILE(IF($F$3:$F$1460=$F1217,$H$3:$H$1460),3)</f>
        <v>11191.057499999999</v>
      </c>
    </row>
    <row r="1218" spans="1:13" x14ac:dyDescent="0.25">
      <c r="A1218" s="7">
        <v>1259</v>
      </c>
      <c r="B1218" s="6" t="s">
        <v>97</v>
      </c>
      <c r="C1218" s="7">
        <v>4365968</v>
      </c>
      <c r="D1218" s="23" t="s">
        <v>1139</v>
      </c>
      <c r="E1218" s="6" t="s">
        <v>1140</v>
      </c>
      <c r="F1218" s="21" t="s">
        <v>79</v>
      </c>
      <c r="G1218" s="6" t="s">
        <v>1207</v>
      </c>
      <c r="H1218" s="22">
        <v>96341.88</v>
      </c>
      <c r="I1218" s="9">
        <v>2</v>
      </c>
      <c r="J1218" s="22">
        <f t="shared" si="13"/>
        <v>192683.76</v>
      </c>
      <c r="K1218" s="9">
        <f t="array" ref="K1218">QUARTILE(IF($F$3:$F$1460=$F1218,$H$3:$H$1460),1)</f>
        <v>17598.830000000002</v>
      </c>
      <c r="L1218" s="9">
        <f t="array" ref="L1218">QUARTILE(IF($F$3:$F$1460=$F1218,$H$3:$H$1460),2)</f>
        <v>60471.06</v>
      </c>
      <c r="M1218" s="9">
        <f t="array" ref="M1218">QUARTILE(IF($F$3:$F$1460=$F1218,$H$3:$H$1460),3)</f>
        <v>139860.215</v>
      </c>
    </row>
    <row r="1219" spans="1:13" x14ac:dyDescent="0.25">
      <c r="A1219" s="7">
        <v>1260</v>
      </c>
      <c r="B1219" s="6" t="s">
        <v>97</v>
      </c>
      <c r="C1219" s="7">
        <v>4365968</v>
      </c>
      <c r="D1219" s="23" t="s">
        <v>1139</v>
      </c>
      <c r="E1219" s="6" t="s">
        <v>1140</v>
      </c>
      <c r="F1219" s="21" t="s">
        <v>79</v>
      </c>
      <c r="G1219" s="6" t="s">
        <v>1208</v>
      </c>
      <c r="H1219" s="22">
        <f>96341.88+35135</f>
        <v>131476.88</v>
      </c>
      <c r="I1219" s="9">
        <v>2</v>
      </c>
      <c r="J1219" s="22">
        <f t="shared" si="13"/>
        <v>262953.76</v>
      </c>
      <c r="K1219" s="9">
        <f t="array" ref="K1219">QUARTILE(IF($F$3:$F$1460=$F1219,$H$3:$H$1460),1)</f>
        <v>17598.830000000002</v>
      </c>
      <c r="L1219" s="9">
        <f t="array" ref="L1219">QUARTILE(IF($F$3:$F$1460=$F1219,$H$3:$H$1460),2)</f>
        <v>60471.06</v>
      </c>
      <c r="M1219" s="9">
        <f t="array" ref="M1219">QUARTILE(IF($F$3:$F$1460=$F1219,$H$3:$H$1460),3)</f>
        <v>139860.215</v>
      </c>
    </row>
    <row r="1220" spans="1:13" x14ac:dyDescent="0.25">
      <c r="A1220" s="7">
        <v>1261</v>
      </c>
      <c r="B1220" s="6" t="s">
        <v>97</v>
      </c>
      <c r="C1220" s="7">
        <v>4365968</v>
      </c>
      <c r="D1220" s="23" t="s">
        <v>1139</v>
      </c>
      <c r="E1220" s="6" t="s">
        <v>1140</v>
      </c>
      <c r="F1220" s="21" t="s">
        <v>17</v>
      </c>
      <c r="G1220" s="6" t="s">
        <v>1209</v>
      </c>
      <c r="H1220" s="22">
        <v>55615.86</v>
      </c>
      <c r="I1220" s="9">
        <v>1</v>
      </c>
      <c r="J1220" s="22">
        <f t="shared" si="13"/>
        <v>55615.86</v>
      </c>
      <c r="K1220" s="9">
        <f t="array" ref="K1220">QUARTILE(IF($F$3:$F$1460=$F1220,$H$3:$H$1460),1)</f>
        <v>17.549999999999997</v>
      </c>
      <c r="L1220" s="9">
        <f t="array" ref="L1220">QUARTILE(IF($F$3:$F$1460=$F1220,$H$3:$H$1460),2)</f>
        <v>275.8</v>
      </c>
      <c r="M1220" s="9">
        <f t="array" ref="M1220">QUARTILE(IF($F$3:$F$1460=$F1220,$H$3:$H$1460),3)</f>
        <v>11191.057499999999</v>
      </c>
    </row>
    <row r="1221" spans="1:13" x14ac:dyDescent="0.25">
      <c r="A1221" s="7">
        <v>1262</v>
      </c>
      <c r="B1221" s="6" t="s">
        <v>97</v>
      </c>
      <c r="C1221" s="7">
        <v>4365968</v>
      </c>
      <c r="D1221" s="23" t="s">
        <v>1139</v>
      </c>
      <c r="E1221" s="6" t="s">
        <v>1140</v>
      </c>
      <c r="F1221" s="21" t="s">
        <v>79</v>
      </c>
      <c r="G1221" s="6" t="s">
        <v>1210</v>
      </c>
      <c r="H1221" s="22">
        <v>123040</v>
      </c>
      <c r="I1221" s="9">
        <v>2</v>
      </c>
      <c r="J1221" s="22">
        <f t="shared" si="13"/>
        <v>246080</v>
      </c>
      <c r="K1221" s="9">
        <f t="array" ref="K1221">QUARTILE(IF($F$3:$F$1460=$F1221,$H$3:$H$1460),1)</f>
        <v>17598.830000000002</v>
      </c>
      <c r="L1221" s="9">
        <f t="array" ref="L1221">QUARTILE(IF($F$3:$F$1460=$F1221,$H$3:$H$1460),2)</f>
        <v>60471.06</v>
      </c>
      <c r="M1221" s="9">
        <f t="array" ref="M1221">QUARTILE(IF($F$3:$F$1460=$F1221,$H$3:$H$1460),3)</f>
        <v>139860.215</v>
      </c>
    </row>
    <row r="1222" spans="1:13" x14ac:dyDescent="0.25">
      <c r="A1222" s="7">
        <v>1263</v>
      </c>
      <c r="B1222" s="6" t="s">
        <v>97</v>
      </c>
      <c r="C1222" s="7">
        <v>4365968</v>
      </c>
      <c r="D1222" s="23" t="s">
        <v>1139</v>
      </c>
      <c r="E1222" s="6" t="s">
        <v>1140</v>
      </c>
      <c r="F1222" s="21" t="s">
        <v>79</v>
      </c>
      <c r="G1222" s="6" t="s">
        <v>1211</v>
      </c>
      <c r="H1222" s="22">
        <v>258587</v>
      </c>
      <c r="I1222" s="9">
        <v>1</v>
      </c>
      <c r="J1222" s="22">
        <f t="shared" si="13"/>
        <v>258587</v>
      </c>
      <c r="K1222" s="9">
        <f t="array" ref="K1222">QUARTILE(IF($F$3:$F$1460=$F1222,$H$3:$H$1460),1)</f>
        <v>17598.830000000002</v>
      </c>
      <c r="L1222" s="9">
        <f t="array" ref="L1222">QUARTILE(IF($F$3:$F$1460=$F1222,$H$3:$H$1460),2)</f>
        <v>60471.06</v>
      </c>
      <c r="M1222" s="9">
        <f t="array" ref="M1222">QUARTILE(IF($F$3:$F$1460=$F1222,$H$3:$H$1460),3)</f>
        <v>139860.215</v>
      </c>
    </row>
    <row r="1223" spans="1:13" x14ac:dyDescent="0.25">
      <c r="A1223" s="7">
        <v>1264</v>
      </c>
      <c r="B1223" s="6" t="s">
        <v>97</v>
      </c>
      <c r="C1223" s="7">
        <v>4365968</v>
      </c>
      <c r="D1223" s="23" t="s">
        <v>1139</v>
      </c>
      <c r="E1223" s="6" t="s">
        <v>1140</v>
      </c>
      <c r="F1223" s="21" t="s">
        <v>79</v>
      </c>
      <c r="G1223" s="6" t="s">
        <v>1212</v>
      </c>
      <c r="H1223" s="22">
        <v>11124.64</v>
      </c>
      <c r="I1223" s="9">
        <v>2</v>
      </c>
      <c r="J1223" s="22">
        <f t="shared" si="13"/>
        <v>22249.279999999999</v>
      </c>
      <c r="K1223" s="9">
        <f t="array" ref="K1223">QUARTILE(IF($F$3:$F$1460=$F1223,$H$3:$H$1460),1)</f>
        <v>17598.830000000002</v>
      </c>
      <c r="L1223" s="9">
        <f t="array" ref="L1223">QUARTILE(IF($F$3:$F$1460=$F1223,$H$3:$H$1460),2)</f>
        <v>60471.06</v>
      </c>
      <c r="M1223" s="9">
        <f t="array" ref="M1223">QUARTILE(IF($F$3:$F$1460=$F1223,$H$3:$H$1460),3)</f>
        <v>139860.215</v>
      </c>
    </row>
    <row r="1224" spans="1:13" x14ac:dyDescent="0.25">
      <c r="A1224" s="7">
        <v>1265</v>
      </c>
      <c r="B1224" s="6" t="s">
        <v>97</v>
      </c>
      <c r="C1224" s="7">
        <v>4365968</v>
      </c>
      <c r="D1224" s="23" t="s">
        <v>1139</v>
      </c>
      <c r="E1224" s="6" t="s">
        <v>1140</v>
      </c>
      <c r="F1224" s="21" t="s">
        <v>79</v>
      </c>
      <c r="G1224" s="6" t="s">
        <v>1213</v>
      </c>
      <c r="H1224" s="22">
        <v>21537.84</v>
      </c>
      <c r="I1224" s="9">
        <v>2</v>
      </c>
      <c r="J1224" s="22">
        <f t="shared" si="13"/>
        <v>43075.68</v>
      </c>
      <c r="K1224" s="9">
        <f t="array" ref="K1224">QUARTILE(IF($F$3:$F$1460=$F1224,$H$3:$H$1460),1)</f>
        <v>17598.830000000002</v>
      </c>
      <c r="L1224" s="9">
        <f t="array" ref="L1224">QUARTILE(IF($F$3:$F$1460=$F1224,$H$3:$H$1460),2)</f>
        <v>60471.06</v>
      </c>
      <c r="M1224" s="9">
        <f t="array" ref="M1224">QUARTILE(IF($F$3:$F$1460=$F1224,$H$3:$H$1460),3)</f>
        <v>139860.215</v>
      </c>
    </row>
    <row r="1225" spans="1:13" x14ac:dyDescent="0.25">
      <c r="A1225" s="7">
        <v>1266</v>
      </c>
      <c r="B1225" s="6" t="s">
        <v>97</v>
      </c>
      <c r="C1225" s="7">
        <v>4365968</v>
      </c>
      <c r="D1225" s="23" t="s">
        <v>1139</v>
      </c>
      <c r="E1225" s="6" t="s">
        <v>1140</v>
      </c>
      <c r="F1225" s="21" t="s">
        <v>79</v>
      </c>
      <c r="G1225" s="6" t="s">
        <v>1214</v>
      </c>
      <c r="H1225" s="22">
        <v>5705.54</v>
      </c>
      <c r="I1225" s="9">
        <v>2</v>
      </c>
      <c r="J1225" s="22">
        <f t="shared" si="13"/>
        <v>11411.08</v>
      </c>
      <c r="K1225" s="9">
        <f t="array" ref="K1225">QUARTILE(IF($F$3:$F$1460=$F1225,$H$3:$H$1460),1)</f>
        <v>17598.830000000002</v>
      </c>
      <c r="L1225" s="9">
        <f t="array" ref="L1225">QUARTILE(IF($F$3:$F$1460=$F1225,$H$3:$H$1460),2)</f>
        <v>60471.06</v>
      </c>
      <c r="M1225" s="9">
        <f t="array" ref="M1225">QUARTILE(IF($F$3:$F$1460=$F1225,$H$3:$H$1460),3)</f>
        <v>139860.215</v>
      </c>
    </row>
    <row r="1226" spans="1:13" x14ac:dyDescent="0.25">
      <c r="A1226" s="7">
        <v>1267</v>
      </c>
      <c r="B1226" s="6" t="s">
        <v>97</v>
      </c>
      <c r="C1226" s="7">
        <v>4365968</v>
      </c>
      <c r="D1226" s="23" t="s">
        <v>1139</v>
      </c>
      <c r="E1226" s="6" t="s">
        <v>1140</v>
      </c>
      <c r="F1226" s="21" t="s">
        <v>79</v>
      </c>
      <c r="G1226" s="6" t="s">
        <v>1215</v>
      </c>
      <c r="H1226" s="22">
        <v>58955.1</v>
      </c>
      <c r="I1226" s="9">
        <v>2</v>
      </c>
      <c r="J1226" s="22">
        <f t="shared" si="13"/>
        <v>117910.2</v>
      </c>
      <c r="K1226" s="9">
        <f t="array" ref="K1226">QUARTILE(IF($F$3:$F$1460=$F1226,$H$3:$H$1460),1)</f>
        <v>17598.830000000002</v>
      </c>
      <c r="L1226" s="9">
        <f t="array" ref="L1226">QUARTILE(IF($F$3:$F$1460=$F1226,$H$3:$H$1460),2)</f>
        <v>60471.06</v>
      </c>
      <c r="M1226" s="9">
        <f t="array" ref="M1226">QUARTILE(IF($F$3:$F$1460=$F1226,$H$3:$H$1460),3)</f>
        <v>139860.215</v>
      </c>
    </row>
    <row r="1227" spans="1:13" x14ac:dyDescent="0.25">
      <c r="A1227" s="7">
        <v>1268</v>
      </c>
      <c r="B1227" s="6" t="s">
        <v>97</v>
      </c>
      <c r="C1227" s="7">
        <v>4365968</v>
      </c>
      <c r="D1227" s="23" t="s">
        <v>1139</v>
      </c>
      <c r="E1227" s="6" t="s">
        <v>1140</v>
      </c>
      <c r="F1227" s="21" t="s">
        <v>79</v>
      </c>
      <c r="G1227" s="6" t="s">
        <v>1216</v>
      </c>
      <c r="H1227" s="22">
        <v>85019.3</v>
      </c>
      <c r="I1227" s="9">
        <v>2</v>
      </c>
      <c r="J1227" s="22">
        <f t="shared" si="13"/>
        <v>170038.6</v>
      </c>
      <c r="K1227" s="9">
        <f t="array" ref="K1227">QUARTILE(IF($F$3:$F$1460=$F1227,$H$3:$H$1460),1)</f>
        <v>17598.830000000002</v>
      </c>
      <c r="L1227" s="9">
        <f t="array" ref="L1227">QUARTILE(IF($F$3:$F$1460=$F1227,$H$3:$H$1460),2)</f>
        <v>60471.06</v>
      </c>
      <c r="M1227" s="9">
        <f t="array" ref="M1227">QUARTILE(IF($F$3:$F$1460=$F1227,$H$3:$H$1460),3)</f>
        <v>139860.215</v>
      </c>
    </row>
    <row r="1228" spans="1:13" x14ac:dyDescent="0.25">
      <c r="A1228" s="7">
        <v>1269</v>
      </c>
      <c r="B1228" s="6" t="s">
        <v>97</v>
      </c>
      <c r="C1228" s="7">
        <v>4365968</v>
      </c>
      <c r="D1228" s="23" t="s">
        <v>1139</v>
      </c>
      <c r="E1228" s="6" t="s">
        <v>1140</v>
      </c>
      <c r="F1228" s="21" t="s">
        <v>17</v>
      </c>
      <c r="G1228" s="6" t="s">
        <v>1217</v>
      </c>
      <c r="H1228" s="22">
        <v>7673.67</v>
      </c>
      <c r="I1228" s="9">
        <v>2</v>
      </c>
      <c r="J1228" s="22">
        <f t="shared" si="13"/>
        <v>15347.34</v>
      </c>
      <c r="K1228" s="9">
        <f t="array" ref="K1228">QUARTILE(IF($F$3:$F$1460=$F1228,$H$3:$H$1460),1)</f>
        <v>17.549999999999997</v>
      </c>
      <c r="L1228" s="9">
        <f t="array" ref="L1228">QUARTILE(IF($F$3:$F$1460=$F1228,$H$3:$H$1460),2)</f>
        <v>275.8</v>
      </c>
      <c r="M1228" s="9">
        <f t="array" ref="M1228">QUARTILE(IF($F$3:$F$1460=$F1228,$H$3:$H$1460),3)</f>
        <v>11191.057499999999</v>
      </c>
    </row>
    <row r="1229" spans="1:13" x14ac:dyDescent="0.25">
      <c r="A1229" s="7">
        <v>1270</v>
      </c>
      <c r="B1229" s="6" t="s">
        <v>97</v>
      </c>
      <c r="C1229" s="7">
        <v>4365968</v>
      </c>
      <c r="D1229" s="23" t="s">
        <v>1139</v>
      </c>
      <c r="E1229" s="6" t="s">
        <v>1140</v>
      </c>
      <c r="F1229" s="21" t="s">
        <v>17</v>
      </c>
      <c r="G1229" s="6" t="s">
        <v>1218</v>
      </c>
      <c r="H1229" s="22">
        <v>13679.91</v>
      </c>
      <c r="I1229" s="9">
        <v>2</v>
      </c>
      <c r="J1229" s="22">
        <f t="shared" si="13"/>
        <v>27359.82</v>
      </c>
      <c r="K1229" s="9">
        <f t="array" ref="K1229">QUARTILE(IF($F$3:$F$1460=$F1229,$H$3:$H$1460),1)</f>
        <v>17.549999999999997</v>
      </c>
      <c r="L1229" s="9">
        <f t="array" ref="L1229">QUARTILE(IF($F$3:$F$1460=$F1229,$H$3:$H$1460),2)</f>
        <v>275.8</v>
      </c>
      <c r="M1229" s="9">
        <f t="array" ref="M1229">QUARTILE(IF($F$3:$F$1460=$F1229,$H$3:$H$1460),3)</f>
        <v>11191.057499999999</v>
      </c>
    </row>
    <row r="1230" spans="1:13" x14ac:dyDescent="0.25">
      <c r="A1230" s="7">
        <v>1271</v>
      </c>
      <c r="B1230" s="6" t="s">
        <v>97</v>
      </c>
      <c r="C1230" s="7">
        <v>4365968</v>
      </c>
      <c r="D1230" s="23" t="s">
        <v>1139</v>
      </c>
      <c r="E1230" s="6" t="s">
        <v>1140</v>
      </c>
      <c r="F1230" s="21" t="s">
        <v>79</v>
      </c>
      <c r="G1230" s="6" t="s">
        <v>1219</v>
      </c>
      <c r="H1230" s="22">
        <v>169758.6</v>
      </c>
      <c r="I1230" s="9">
        <v>2</v>
      </c>
      <c r="J1230" s="22">
        <f t="shared" si="13"/>
        <v>339517.2</v>
      </c>
      <c r="K1230" s="9">
        <f t="array" ref="K1230">QUARTILE(IF($F$3:$F$1460=$F1230,$H$3:$H$1460),1)</f>
        <v>17598.830000000002</v>
      </c>
      <c r="L1230" s="9">
        <f t="array" ref="L1230">QUARTILE(IF($F$3:$F$1460=$F1230,$H$3:$H$1460),2)</f>
        <v>60471.06</v>
      </c>
      <c r="M1230" s="9">
        <f t="array" ref="M1230">QUARTILE(IF($F$3:$F$1460=$F1230,$H$3:$H$1460),3)</f>
        <v>139860.215</v>
      </c>
    </row>
    <row r="1231" spans="1:13" x14ac:dyDescent="0.25">
      <c r="A1231" s="7">
        <v>1272</v>
      </c>
      <c r="B1231" s="6" t="s">
        <v>97</v>
      </c>
      <c r="C1231" s="7">
        <v>4365968</v>
      </c>
      <c r="D1231" s="23" t="s">
        <v>1139</v>
      </c>
      <c r="E1231" s="6" t="s">
        <v>1140</v>
      </c>
      <c r="F1231" s="21" t="s">
        <v>17</v>
      </c>
      <c r="G1231" s="6" t="s">
        <v>1220</v>
      </c>
      <c r="H1231" s="22">
        <v>548535.6</v>
      </c>
      <c r="I1231" s="9">
        <v>1</v>
      </c>
      <c r="J1231" s="22">
        <f t="shared" si="13"/>
        <v>548535.6</v>
      </c>
      <c r="K1231" s="9">
        <f t="array" ref="K1231">QUARTILE(IF($F$3:$F$1460=$F1231,$H$3:$H$1460),1)</f>
        <v>17.549999999999997</v>
      </c>
      <c r="L1231" s="9">
        <f t="array" ref="L1231">QUARTILE(IF($F$3:$F$1460=$F1231,$H$3:$H$1460),2)</f>
        <v>275.8</v>
      </c>
      <c r="M1231" s="9">
        <f t="array" ref="M1231">QUARTILE(IF($F$3:$F$1460=$F1231,$H$3:$H$1460),3)</f>
        <v>11191.057499999999</v>
      </c>
    </row>
    <row r="1232" spans="1:13" x14ac:dyDescent="0.25">
      <c r="A1232" s="7">
        <v>1273</v>
      </c>
      <c r="B1232" s="6" t="s">
        <v>97</v>
      </c>
      <c r="C1232" s="7">
        <v>4365968</v>
      </c>
      <c r="D1232" s="23" t="s">
        <v>1139</v>
      </c>
      <c r="E1232" s="6" t="s">
        <v>1140</v>
      </c>
      <c r="F1232" s="21" t="s">
        <v>17</v>
      </c>
      <c r="G1232" s="6" t="s">
        <v>1221</v>
      </c>
      <c r="H1232" s="22">
        <v>54138</v>
      </c>
      <c r="I1232" s="9">
        <v>1</v>
      </c>
      <c r="J1232" s="22">
        <f t="shared" si="13"/>
        <v>54138</v>
      </c>
      <c r="K1232" s="9">
        <f t="array" ref="K1232">QUARTILE(IF($F$3:$F$1460=$F1232,$H$3:$H$1460),1)</f>
        <v>17.549999999999997</v>
      </c>
      <c r="L1232" s="9">
        <f t="array" ref="L1232">QUARTILE(IF($F$3:$F$1460=$F1232,$H$3:$H$1460),2)</f>
        <v>275.8</v>
      </c>
      <c r="M1232" s="9">
        <f t="array" ref="M1232">QUARTILE(IF($F$3:$F$1460=$F1232,$H$3:$H$1460),3)</f>
        <v>11191.057499999999</v>
      </c>
    </row>
    <row r="1233" spans="1:14" x14ac:dyDescent="0.25">
      <c r="A1233" s="7">
        <v>1274</v>
      </c>
      <c r="B1233" s="6" t="s">
        <v>97</v>
      </c>
      <c r="C1233" s="7">
        <v>4365968</v>
      </c>
      <c r="D1233" s="23" t="s">
        <v>1139</v>
      </c>
      <c r="E1233" s="6" t="s">
        <v>1140</v>
      </c>
      <c r="F1233" s="21" t="s">
        <v>17</v>
      </c>
      <c r="G1233" s="6" t="s">
        <v>1222</v>
      </c>
      <c r="H1233" s="22">
        <v>12670.6</v>
      </c>
      <c r="I1233" s="9">
        <v>3</v>
      </c>
      <c r="J1233" s="22">
        <f t="shared" si="13"/>
        <v>38011.800000000003</v>
      </c>
      <c r="K1233" s="9">
        <f t="array" ref="K1233">QUARTILE(IF($F$3:$F$1460=$F1233,$H$3:$H$1460),1)</f>
        <v>17.549999999999997</v>
      </c>
      <c r="L1233" s="9">
        <f t="array" ref="L1233">QUARTILE(IF($F$3:$F$1460=$F1233,$H$3:$H$1460),2)</f>
        <v>275.8</v>
      </c>
      <c r="M1233" s="9">
        <f t="array" ref="M1233">QUARTILE(IF($F$3:$F$1460=$F1233,$H$3:$H$1460),3)</f>
        <v>11191.057499999999</v>
      </c>
    </row>
    <row r="1234" spans="1:14" x14ac:dyDescent="0.25">
      <c r="A1234" s="7">
        <v>1275</v>
      </c>
      <c r="B1234" s="6" t="s">
        <v>97</v>
      </c>
      <c r="C1234" s="7">
        <v>4365968</v>
      </c>
      <c r="D1234" s="23" t="s">
        <v>1139</v>
      </c>
      <c r="E1234" s="6" t="s">
        <v>1140</v>
      </c>
      <c r="F1234" s="21" t="s">
        <v>17</v>
      </c>
      <c r="G1234" s="6" t="s">
        <v>1223</v>
      </c>
      <c r="H1234" s="22">
        <v>24189.38</v>
      </c>
      <c r="I1234" s="9">
        <v>2</v>
      </c>
      <c r="J1234" s="22">
        <f t="shared" si="13"/>
        <v>48378.76</v>
      </c>
      <c r="K1234" s="9">
        <f t="array" ref="K1234">QUARTILE(IF($F$3:$F$1460=$F1234,$H$3:$H$1460),1)</f>
        <v>17.549999999999997</v>
      </c>
      <c r="L1234" s="9">
        <f t="array" ref="L1234">QUARTILE(IF($F$3:$F$1460=$F1234,$H$3:$H$1460),2)</f>
        <v>275.8</v>
      </c>
      <c r="M1234" s="9">
        <f t="array" ref="M1234">QUARTILE(IF($F$3:$F$1460=$F1234,$H$3:$H$1460),3)</f>
        <v>11191.057499999999</v>
      </c>
    </row>
    <row r="1235" spans="1:14" x14ac:dyDescent="0.25">
      <c r="A1235" s="7">
        <v>1276</v>
      </c>
      <c r="B1235" s="6" t="s">
        <v>917</v>
      </c>
      <c r="C1235" s="7">
        <v>5874553</v>
      </c>
      <c r="D1235" s="23" t="s">
        <v>1224</v>
      </c>
      <c r="E1235" s="6" t="s">
        <v>1225</v>
      </c>
      <c r="F1235" s="21" t="s">
        <v>71</v>
      </c>
      <c r="G1235" s="6" t="s">
        <v>1226</v>
      </c>
      <c r="H1235" s="22">
        <v>3488</v>
      </c>
      <c r="I1235" s="9">
        <v>1</v>
      </c>
      <c r="J1235" s="22">
        <f t="shared" si="13"/>
        <v>3488</v>
      </c>
      <c r="K1235" s="9">
        <f t="array" ref="K1235">QUARTILE(IF($F$3:$F$1460=$F1235,$H$3:$H$1460),1)</f>
        <v>3488</v>
      </c>
      <c r="L1235" s="9">
        <f t="array" ref="L1235">QUARTILE(IF($F$3:$F$1460=$F1235,$H$3:$H$1460),2)</f>
        <v>3488</v>
      </c>
      <c r="M1235" s="9">
        <f t="array" ref="M1235">QUARTILE(IF($F$3:$F$1460=$F1235,$H$3:$H$1460),3)</f>
        <v>3488</v>
      </c>
    </row>
    <row r="1236" spans="1:14" x14ac:dyDescent="0.25">
      <c r="A1236" s="7">
        <v>1277</v>
      </c>
      <c r="B1236" s="6" t="s">
        <v>917</v>
      </c>
      <c r="C1236" s="7">
        <v>5874553</v>
      </c>
      <c r="D1236" s="23" t="s">
        <v>1224</v>
      </c>
      <c r="E1236" s="6" t="s">
        <v>1225</v>
      </c>
      <c r="F1236" s="21" t="s">
        <v>60</v>
      </c>
      <c r="G1236" s="6" t="s">
        <v>1227</v>
      </c>
      <c r="H1236" s="22">
        <v>3468</v>
      </c>
      <c r="I1236" s="9">
        <v>1</v>
      </c>
      <c r="J1236" s="22">
        <f t="shared" si="13"/>
        <v>3468</v>
      </c>
      <c r="K1236" s="9">
        <f t="array" ref="K1236">QUARTILE(IF($F$3:$F$1460=$F1236,$H$3:$H$1460),1)</f>
        <v>680</v>
      </c>
      <c r="L1236" s="9">
        <f t="array" ref="L1236">QUARTILE(IF($F$3:$F$1460=$F1236,$H$3:$H$1460),2)</f>
        <v>991</v>
      </c>
      <c r="M1236" s="9">
        <f t="array" ref="M1236">QUARTILE(IF($F$3:$F$1460=$F1236,$H$3:$H$1460),3)</f>
        <v>1485.8333333333335</v>
      </c>
    </row>
    <row r="1237" spans="1:14" x14ac:dyDescent="0.25">
      <c r="A1237" s="7">
        <v>1278</v>
      </c>
      <c r="B1237" s="6" t="s">
        <v>917</v>
      </c>
      <c r="C1237" s="7">
        <v>5874553</v>
      </c>
      <c r="D1237" s="23" t="s">
        <v>1224</v>
      </c>
      <c r="E1237" s="6" t="s">
        <v>1225</v>
      </c>
      <c r="F1237" s="21" t="s">
        <v>59</v>
      </c>
      <c r="G1237" s="6" t="s">
        <v>1228</v>
      </c>
      <c r="H1237" s="22">
        <v>2640</v>
      </c>
      <c r="I1237" s="9">
        <v>1</v>
      </c>
      <c r="J1237" s="22">
        <f t="shared" si="13"/>
        <v>2640</v>
      </c>
      <c r="K1237" s="9">
        <f t="array" ref="K1237">QUARTILE(IF($F$3:$F$1460=$F1237,$H$3:$H$1460),1)</f>
        <v>595</v>
      </c>
      <c r="L1237" s="9">
        <f t="array" ref="L1237">QUARTILE(IF($F$3:$F$1460=$F1237,$H$3:$H$1460),2)</f>
        <v>952.5</v>
      </c>
      <c r="M1237" s="9">
        <f t="array" ref="M1237">QUARTILE(IF($F$3:$F$1460=$F1237,$H$3:$H$1460),3)</f>
        <v>1890.4166666666667</v>
      </c>
    </row>
    <row r="1238" spans="1:14" x14ac:dyDescent="0.25">
      <c r="A1238" s="7">
        <v>1279</v>
      </c>
      <c r="B1238" s="6" t="s">
        <v>917</v>
      </c>
      <c r="C1238" s="7">
        <v>5874553</v>
      </c>
      <c r="D1238" s="23" t="s">
        <v>1224</v>
      </c>
      <c r="E1238" s="6" t="s">
        <v>1225</v>
      </c>
      <c r="F1238" s="21" t="s">
        <v>59</v>
      </c>
      <c r="G1238" s="6" t="s">
        <v>1229</v>
      </c>
      <c r="H1238" s="22">
        <v>9200</v>
      </c>
      <c r="I1238" s="9">
        <v>1</v>
      </c>
      <c r="J1238" s="22">
        <f t="shared" si="13"/>
        <v>9200</v>
      </c>
      <c r="K1238" s="9">
        <f t="array" ref="K1238">QUARTILE(IF($F$3:$F$1460=$F1238,$H$3:$H$1460),1)</f>
        <v>595</v>
      </c>
      <c r="L1238" s="9">
        <f t="array" ref="L1238">QUARTILE(IF($F$3:$F$1460=$F1238,$H$3:$H$1460),2)</f>
        <v>952.5</v>
      </c>
      <c r="M1238" s="9">
        <f t="array" ref="M1238">QUARTILE(IF($F$3:$F$1460=$F1238,$H$3:$H$1460),3)</f>
        <v>1890.4166666666667</v>
      </c>
    </row>
    <row r="1239" spans="1:14" x14ac:dyDescent="0.25">
      <c r="A1239" s="7">
        <v>1280</v>
      </c>
      <c r="B1239" s="6" t="s">
        <v>917</v>
      </c>
      <c r="C1239" s="7">
        <v>5874553</v>
      </c>
      <c r="D1239" s="23" t="s">
        <v>1224</v>
      </c>
      <c r="E1239" s="6" t="s">
        <v>1225</v>
      </c>
      <c r="F1239" s="21" t="s">
        <v>59</v>
      </c>
      <c r="G1239" s="6" t="s">
        <v>1230</v>
      </c>
      <c r="H1239" s="22">
        <v>550</v>
      </c>
      <c r="I1239" s="9">
        <v>4</v>
      </c>
      <c r="J1239" s="22">
        <f t="shared" si="13"/>
        <v>2200</v>
      </c>
      <c r="K1239" s="9">
        <f t="array" ref="K1239">QUARTILE(IF($F$3:$F$1460=$F1239,$H$3:$H$1460),1)</f>
        <v>595</v>
      </c>
      <c r="L1239" s="9">
        <f t="array" ref="L1239">QUARTILE(IF($F$3:$F$1460=$F1239,$H$3:$H$1460),2)</f>
        <v>952.5</v>
      </c>
      <c r="M1239" s="9">
        <f t="array" ref="M1239">QUARTILE(IF($F$3:$F$1460=$F1239,$H$3:$H$1460),3)</f>
        <v>1890.4166666666667</v>
      </c>
    </row>
    <row r="1240" spans="1:14" s="33" customFormat="1" x14ac:dyDescent="0.25">
      <c r="A1240" s="29">
        <v>1281</v>
      </c>
      <c r="B1240" s="30" t="s">
        <v>1231</v>
      </c>
      <c r="C1240" s="29">
        <v>4295037</v>
      </c>
      <c r="D1240" s="20" t="s">
        <v>1232</v>
      </c>
      <c r="E1240" s="30" t="s">
        <v>1233</v>
      </c>
      <c r="F1240" s="21" t="s">
        <v>60</v>
      </c>
      <c r="G1240" s="30" t="s">
        <v>1234</v>
      </c>
      <c r="H1240" s="34">
        <v>1800</v>
      </c>
      <c r="I1240" s="31">
        <v>12</v>
      </c>
      <c r="J1240" s="34">
        <f t="shared" si="13"/>
        <v>21600</v>
      </c>
      <c r="K1240" s="9">
        <f t="array" ref="K1240">QUARTILE(IF($F$3:$F$1460=$F1240,$H$3:$H$1460),1)</f>
        <v>680</v>
      </c>
      <c r="L1240" s="9">
        <f t="array" ref="L1240">QUARTILE(IF($F$3:$F$1460=$F1240,$H$3:$H$1460),2)</f>
        <v>991</v>
      </c>
      <c r="M1240" s="9">
        <f t="array" ref="M1240">QUARTILE(IF($F$3:$F$1460=$F1240,$H$3:$H$1460),3)</f>
        <v>1485.8333333333335</v>
      </c>
      <c r="N1240" s="5"/>
    </row>
    <row r="1241" spans="1:14" x14ac:dyDescent="0.25">
      <c r="A1241" s="7">
        <v>1282</v>
      </c>
      <c r="B1241" s="6" t="s">
        <v>1231</v>
      </c>
      <c r="C1241" s="7">
        <v>4295037</v>
      </c>
      <c r="D1241" s="23" t="s">
        <v>1232</v>
      </c>
      <c r="E1241" s="6" t="s">
        <v>1233</v>
      </c>
      <c r="F1241" s="21" t="s">
        <v>44</v>
      </c>
      <c r="G1241" s="6" t="s">
        <v>1235</v>
      </c>
      <c r="H1241" s="22">
        <v>336</v>
      </c>
      <c r="I1241" s="9">
        <v>24</v>
      </c>
      <c r="J1241" s="22">
        <f t="shared" si="13"/>
        <v>8064</v>
      </c>
      <c r="K1241" s="9">
        <f t="array" ref="K1241">QUARTILE(IF($F$3:$F$1460=$F1241,$H$3:$H$1460),1)</f>
        <v>141.67500000000001</v>
      </c>
      <c r="L1241" s="9">
        <f t="array" ref="L1241">QUARTILE(IF($F$3:$F$1460=$F1241,$H$3:$H$1460),2)</f>
        <v>194</v>
      </c>
      <c r="M1241" s="9">
        <f t="array" ref="M1241">QUARTILE(IF($F$3:$F$1460=$F1241,$H$3:$H$1460),3)</f>
        <v>266.75</v>
      </c>
    </row>
    <row r="1242" spans="1:14" x14ac:dyDescent="0.25">
      <c r="A1242" s="7">
        <v>1283</v>
      </c>
      <c r="B1242" s="6" t="s">
        <v>1231</v>
      </c>
      <c r="C1242" s="7">
        <v>4295037</v>
      </c>
      <c r="D1242" s="23" t="s">
        <v>1232</v>
      </c>
      <c r="E1242" s="6" t="s">
        <v>1233</v>
      </c>
      <c r="F1242" s="21" t="s">
        <v>9</v>
      </c>
      <c r="G1242" s="6" t="s">
        <v>1236</v>
      </c>
      <c r="H1242" s="22">
        <v>22</v>
      </c>
      <c r="I1242" s="9">
        <v>12</v>
      </c>
      <c r="J1242" s="22">
        <f t="shared" si="13"/>
        <v>264</v>
      </c>
      <c r="K1242" s="9">
        <f t="array" ref="K1242">QUARTILE(IF($F$3:$F$1460=$F1242,$H$3:$H$1460),1)</f>
        <v>5.1899999999999995</v>
      </c>
      <c r="L1242" s="9">
        <f t="array" ref="L1242">QUARTILE(IF($F$3:$F$1460=$F1242,$H$3:$H$1460),2)</f>
        <v>8.5</v>
      </c>
      <c r="M1242" s="9">
        <f t="array" ref="M1242">QUARTILE(IF($F$3:$F$1460=$F1242,$H$3:$H$1460),3)</f>
        <v>21.95</v>
      </c>
    </row>
    <row r="1243" spans="1:14" x14ac:dyDescent="0.25">
      <c r="A1243" s="7">
        <v>1284</v>
      </c>
      <c r="B1243" s="6" t="s">
        <v>1231</v>
      </c>
      <c r="C1243" s="7">
        <v>4295037</v>
      </c>
      <c r="D1243" s="23" t="s">
        <v>1232</v>
      </c>
      <c r="E1243" s="6" t="s">
        <v>1233</v>
      </c>
      <c r="F1243" s="21" t="s">
        <v>6</v>
      </c>
      <c r="G1243" s="6" t="s">
        <v>1237</v>
      </c>
      <c r="H1243" s="22">
        <v>14</v>
      </c>
      <c r="I1243" s="9">
        <v>12</v>
      </c>
      <c r="J1243" s="22">
        <f t="shared" si="13"/>
        <v>168</v>
      </c>
      <c r="K1243" s="9">
        <f t="array" ref="K1243">QUARTILE(IF($F$3:$F$1460=$F1243,$H$3:$H$1460),1)</f>
        <v>4.25</v>
      </c>
      <c r="L1243" s="9">
        <f t="array" ref="L1243">QUARTILE(IF($F$3:$F$1460=$F1243,$H$3:$H$1460),2)</f>
        <v>6.12</v>
      </c>
      <c r="M1243" s="9">
        <f t="array" ref="M1243">QUARTILE(IF($F$3:$F$1460=$F1243,$H$3:$H$1460),3)</f>
        <v>13.55</v>
      </c>
    </row>
    <row r="1244" spans="1:14" x14ac:dyDescent="0.25">
      <c r="A1244" s="7">
        <v>1285</v>
      </c>
      <c r="B1244" s="6" t="s">
        <v>1231</v>
      </c>
      <c r="C1244" s="7">
        <v>4295037</v>
      </c>
      <c r="D1244" s="23" t="s">
        <v>1232</v>
      </c>
      <c r="E1244" s="6" t="s">
        <v>1233</v>
      </c>
      <c r="F1244" s="21" t="s">
        <v>68</v>
      </c>
      <c r="G1244" s="6" t="s">
        <v>1238</v>
      </c>
      <c r="H1244" s="22">
        <v>1448</v>
      </c>
      <c r="I1244" s="9">
        <v>3</v>
      </c>
      <c r="J1244" s="22">
        <f t="shared" si="13"/>
        <v>4344</v>
      </c>
      <c r="K1244" s="9">
        <f t="array" ref="K1244">QUARTILE(IF($F$3:$F$1460=$F1244,$H$3:$H$1460),1)</f>
        <v>2032</v>
      </c>
      <c r="L1244" s="9">
        <f t="array" ref="L1244">QUARTILE(IF($F$3:$F$1460=$F1244,$H$3:$H$1460),2)</f>
        <v>19360</v>
      </c>
      <c r="M1244" s="9">
        <f t="array" ref="M1244">QUARTILE(IF($F$3:$F$1460=$F1244,$H$3:$H$1460),3)</f>
        <v>87628.37</v>
      </c>
    </row>
    <row r="1245" spans="1:14" x14ac:dyDescent="0.25">
      <c r="A1245" s="7">
        <v>1286</v>
      </c>
      <c r="B1245" s="6" t="s">
        <v>1231</v>
      </c>
      <c r="C1245" s="7">
        <v>4295037</v>
      </c>
      <c r="D1245" s="23" t="s">
        <v>1232</v>
      </c>
      <c r="E1245" s="6" t="s">
        <v>1233</v>
      </c>
      <c r="F1245" s="21" t="s">
        <v>46</v>
      </c>
      <c r="G1245" s="6" t="s">
        <v>1239</v>
      </c>
      <c r="H1245" s="22">
        <v>1114</v>
      </c>
      <c r="I1245" s="9">
        <v>2</v>
      </c>
      <c r="J1245" s="22">
        <f t="shared" si="13"/>
        <v>2228</v>
      </c>
      <c r="K1245" s="9">
        <f t="array" ref="K1245">QUARTILE(IF($F$3:$F$1460=$F1245,$H$3:$H$1460),1)</f>
        <v>229.78</v>
      </c>
      <c r="L1245" s="9">
        <f t="array" ref="L1245">QUARTILE(IF($F$3:$F$1460=$F1245,$H$3:$H$1460),2)</f>
        <v>424.2</v>
      </c>
      <c r="M1245" s="9">
        <f t="array" ref="M1245">QUARTILE(IF($F$3:$F$1460=$F1245,$H$3:$H$1460),3)</f>
        <v>1030.3</v>
      </c>
    </row>
    <row r="1246" spans="1:14" x14ac:dyDescent="0.25">
      <c r="A1246" s="7">
        <v>1287</v>
      </c>
      <c r="B1246" s="6" t="s">
        <v>1231</v>
      </c>
      <c r="C1246" s="7">
        <v>4295037</v>
      </c>
      <c r="D1246" s="23" t="s">
        <v>1232</v>
      </c>
      <c r="E1246" s="6" t="s">
        <v>1233</v>
      </c>
      <c r="F1246" s="21" t="s">
        <v>46</v>
      </c>
      <c r="G1246" s="6" t="s">
        <v>1240</v>
      </c>
      <c r="H1246" s="22">
        <v>1529</v>
      </c>
      <c r="I1246" s="9">
        <v>2</v>
      </c>
      <c r="J1246" s="22">
        <f t="shared" si="13"/>
        <v>3058</v>
      </c>
      <c r="K1246" s="9">
        <f t="array" ref="K1246">QUARTILE(IF($F$3:$F$1460=$F1246,$H$3:$H$1460),1)</f>
        <v>229.78</v>
      </c>
      <c r="L1246" s="9">
        <f t="array" ref="L1246">QUARTILE(IF($F$3:$F$1460=$F1246,$H$3:$H$1460),2)</f>
        <v>424.2</v>
      </c>
      <c r="M1246" s="9">
        <f t="array" ref="M1246">QUARTILE(IF($F$3:$F$1460=$F1246,$H$3:$H$1460),3)</f>
        <v>1030.3</v>
      </c>
    </row>
    <row r="1247" spans="1:14" x14ac:dyDescent="0.25">
      <c r="A1247" s="7">
        <v>1288</v>
      </c>
      <c r="B1247" s="6" t="s">
        <v>1231</v>
      </c>
      <c r="C1247" s="7">
        <v>4295037</v>
      </c>
      <c r="D1247" s="23" t="s">
        <v>1232</v>
      </c>
      <c r="E1247" s="6" t="s">
        <v>1233</v>
      </c>
      <c r="F1247" s="21" t="s">
        <v>39</v>
      </c>
      <c r="G1247" s="6" t="s">
        <v>1241</v>
      </c>
      <c r="H1247" s="22">
        <v>14079</v>
      </c>
      <c r="I1247" s="9">
        <v>2</v>
      </c>
      <c r="J1247" s="22">
        <f t="shared" si="13"/>
        <v>28158</v>
      </c>
      <c r="K1247" s="9">
        <f t="array" ref="K1247">QUARTILE(IF($F$3:$F$1460=$F1247,$H$3:$H$1460),1)</f>
        <v>98.7</v>
      </c>
      <c r="L1247" s="9">
        <f t="array" ref="L1247">QUARTILE(IF($F$3:$F$1460=$F1247,$H$3:$H$1460),2)</f>
        <v>172.56</v>
      </c>
      <c r="M1247" s="9">
        <f t="array" ref="M1247">QUARTILE(IF($F$3:$F$1460=$F1247,$H$3:$H$1460),3)</f>
        <v>2312.5</v>
      </c>
    </row>
    <row r="1248" spans="1:14" x14ac:dyDescent="0.25">
      <c r="A1248" s="7">
        <v>1289</v>
      </c>
      <c r="B1248" s="6" t="s">
        <v>1231</v>
      </c>
      <c r="C1248" s="7">
        <v>4295037</v>
      </c>
      <c r="D1248" s="23" t="s">
        <v>1232</v>
      </c>
      <c r="E1248" s="6" t="s">
        <v>1233</v>
      </c>
      <c r="F1248" s="21" t="s">
        <v>75</v>
      </c>
      <c r="G1248" s="6" t="s">
        <v>1242</v>
      </c>
      <c r="H1248" s="22">
        <v>7749.25</v>
      </c>
      <c r="I1248" s="9">
        <v>6</v>
      </c>
      <c r="J1248" s="22">
        <f t="shared" si="13"/>
        <v>46495.5</v>
      </c>
      <c r="K1248" s="9">
        <f t="array" ref="K1248">QUARTILE(IF($F$3:$F$1460=$F1248,$H$3:$H$1460),1)</f>
        <v>7209.15</v>
      </c>
      <c r="L1248" s="9">
        <f t="array" ref="L1248">QUARTILE(IF($F$3:$F$1460=$F1248,$H$3:$H$1460),2)</f>
        <v>15534.78</v>
      </c>
      <c r="M1248" s="9">
        <f t="array" ref="M1248">QUARTILE(IF($F$3:$F$1460=$F1248,$H$3:$H$1460),3)</f>
        <v>29950.799999999999</v>
      </c>
    </row>
    <row r="1249" spans="1:13" x14ac:dyDescent="0.25">
      <c r="A1249" s="7">
        <v>1290</v>
      </c>
      <c r="B1249" s="6" t="s">
        <v>1231</v>
      </c>
      <c r="C1249" s="7">
        <v>4295037</v>
      </c>
      <c r="D1249" s="23" t="s">
        <v>1232</v>
      </c>
      <c r="E1249" s="6" t="s">
        <v>1233</v>
      </c>
      <c r="F1249" s="21" t="s">
        <v>66</v>
      </c>
      <c r="G1249" s="6" t="s">
        <v>1243</v>
      </c>
      <c r="H1249" s="22">
        <v>1400</v>
      </c>
      <c r="I1249" s="9">
        <v>1</v>
      </c>
      <c r="J1249" s="22">
        <f t="shared" si="13"/>
        <v>1400</v>
      </c>
      <c r="K1249" s="9">
        <f t="array" ref="K1249">QUARTILE(IF($F$3:$F$1460=$F1249,$H$3:$H$1460),1)</f>
        <v>1400</v>
      </c>
      <c r="L1249" s="9">
        <f t="array" ref="L1249">QUARTILE(IF($F$3:$F$1460=$F1249,$H$3:$H$1460),2)</f>
        <v>1400</v>
      </c>
      <c r="M1249" s="9">
        <f t="array" ref="M1249">QUARTILE(IF($F$3:$F$1460=$F1249,$H$3:$H$1460),3)</f>
        <v>1400</v>
      </c>
    </row>
    <row r="1250" spans="1:13" x14ac:dyDescent="0.25">
      <c r="A1250" s="7">
        <v>1291</v>
      </c>
      <c r="B1250" s="6" t="s">
        <v>1231</v>
      </c>
      <c r="C1250" s="7">
        <v>4295037</v>
      </c>
      <c r="D1250" s="23" t="s">
        <v>1232</v>
      </c>
      <c r="E1250" s="6" t="s">
        <v>1233</v>
      </c>
      <c r="F1250" s="21" t="s">
        <v>39</v>
      </c>
      <c r="G1250" s="6" t="s">
        <v>1244</v>
      </c>
      <c r="H1250" s="22">
        <v>2300</v>
      </c>
      <c r="I1250" s="9">
        <v>1</v>
      </c>
      <c r="J1250" s="22">
        <f t="shared" si="13"/>
        <v>2300</v>
      </c>
      <c r="K1250" s="9">
        <f t="array" ref="K1250">QUARTILE(IF($F$3:$F$1460=$F1250,$H$3:$H$1460),1)</f>
        <v>98.7</v>
      </c>
      <c r="L1250" s="9">
        <f t="array" ref="L1250">QUARTILE(IF($F$3:$F$1460=$F1250,$H$3:$H$1460),2)</f>
        <v>172.56</v>
      </c>
      <c r="M1250" s="9">
        <f t="array" ref="M1250">QUARTILE(IF($F$3:$F$1460=$F1250,$H$3:$H$1460),3)</f>
        <v>2312.5</v>
      </c>
    </row>
    <row r="1251" spans="1:13" x14ac:dyDescent="0.25">
      <c r="A1251" s="7">
        <v>1292</v>
      </c>
      <c r="B1251" s="6" t="s">
        <v>1231</v>
      </c>
      <c r="C1251" s="7">
        <v>4295037</v>
      </c>
      <c r="D1251" s="23" t="s">
        <v>1232</v>
      </c>
      <c r="E1251" s="6" t="s">
        <v>1233</v>
      </c>
      <c r="F1251" s="21" t="s">
        <v>44</v>
      </c>
      <c r="G1251" s="6" t="s">
        <v>1245</v>
      </c>
      <c r="H1251" s="22">
        <v>1070</v>
      </c>
      <c r="I1251" s="9">
        <v>1</v>
      </c>
      <c r="J1251" s="22">
        <f t="shared" si="13"/>
        <v>1070</v>
      </c>
      <c r="K1251" s="9">
        <f t="array" ref="K1251">QUARTILE(IF($F$3:$F$1460=$F1251,$H$3:$H$1460),1)</f>
        <v>141.67500000000001</v>
      </c>
      <c r="L1251" s="9">
        <f t="array" ref="L1251">QUARTILE(IF($F$3:$F$1460=$F1251,$H$3:$H$1460),2)</f>
        <v>194</v>
      </c>
      <c r="M1251" s="9">
        <f t="array" ref="M1251">QUARTILE(IF($F$3:$F$1460=$F1251,$H$3:$H$1460),3)</f>
        <v>266.75</v>
      </c>
    </row>
    <row r="1252" spans="1:13" x14ac:dyDescent="0.25">
      <c r="A1252" s="7">
        <v>1293</v>
      </c>
      <c r="B1252" s="6" t="s">
        <v>1231</v>
      </c>
      <c r="C1252" s="7">
        <v>4295037</v>
      </c>
      <c r="D1252" s="23" t="s">
        <v>1232</v>
      </c>
      <c r="E1252" s="6" t="s">
        <v>1233</v>
      </c>
      <c r="F1252" s="21" t="s">
        <v>39</v>
      </c>
      <c r="G1252" s="6" t="s">
        <v>1246</v>
      </c>
      <c r="H1252" s="22">
        <v>5103.13</v>
      </c>
      <c r="I1252" s="9">
        <v>2</v>
      </c>
      <c r="J1252" s="22">
        <f t="shared" si="13"/>
        <v>10206.26</v>
      </c>
      <c r="K1252" s="9">
        <f t="array" ref="K1252">QUARTILE(IF($F$3:$F$1460=$F1252,$H$3:$H$1460),1)</f>
        <v>98.7</v>
      </c>
      <c r="L1252" s="9">
        <f t="array" ref="L1252">QUARTILE(IF($F$3:$F$1460=$F1252,$H$3:$H$1460),2)</f>
        <v>172.56</v>
      </c>
      <c r="M1252" s="9">
        <f t="array" ref="M1252">QUARTILE(IF($F$3:$F$1460=$F1252,$H$3:$H$1460),3)</f>
        <v>2312.5</v>
      </c>
    </row>
    <row r="1253" spans="1:13" x14ac:dyDescent="0.25">
      <c r="A1253" s="7">
        <v>1294</v>
      </c>
      <c r="B1253" s="6" t="s">
        <v>1247</v>
      </c>
      <c r="C1253" s="7">
        <v>5752312</v>
      </c>
      <c r="D1253" s="23" t="s">
        <v>1248</v>
      </c>
      <c r="E1253" s="6" t="s">
        <v>1249</v>
      </c>
      <c r="F1253" s="21" t="s">
        <v>62</v>
      </c>
      <c r="G1253" s="6" t="s">
        <v>1250</v>
      </c>
      <c r="H1253" s="22">
        <v>1599</v>
      </c>
      <c r="I1253" s="9">
        <v>250</v>
      </c>
      <c r="J1253" s="22">
        <f t="shared" si="13"/>
        <v>399750</v>
      </c>
      <c r="K1253" s="9">
        <f t="array" ref="K1253">QUARTILE(IF($F$3:$F$1460=$F1253,$H$3:$H$1460),1)</f>
        <v>783.15</v>
      </c>
      <c r="L1253" s="9">
        <f t="array" ref="L1253">QUARTILE(IF($F$3:$F$1460=$F1253,$H$3:$H$1460),2)</f>
        <v>1196.3</v>
      </c>
      <c r="M1253" s="9">
        <f t="array" ref="M1253">QUARTILE(IF($F$3:$F$1460=$F1253,$H$3:$H$1460),3)</f>
        <v>1455.5</v>
      </c>
    </row>
    <row r="1254" spans="1:13" x14ac:dyDescent="0.25">
      <c r="A1254" s="7">
        <v>1295</v>
      </c>
      <c r="B1254" s="6" t="s">
        <v>1247</v>
      </c>
      <c r="C1254" s="7">
        <v>5752312</v>
      </c>
      <c r="D1254" s="23" t="s">
        <v>1248</v>
      </c>
      <c r="E1254" s="6" t="s">
        <v>1249</v>
      </c>
      <c r="F1254" s="21" t="s">
        <v>17</v>
      </c>
      <c r="G1254" s="6" t="s">
        <v>1251</v>
      </c>
      <c r="H1254" s="22">
        <v>200</v>
      </c>
      <c r="I1254" s="9">
        <v>250</v>
      </c>
      <c r="J1254" s="22">
        <f t="shared" si="13"/>
        <v>50000</v>
      </c>
      <c r="K1254" s="9">
        <f t="array" ref="K1254">QUARTILE(IF($F$3:$F$1460=$F1254,$H$3:$H$1460),1)</f>
        <v>17.549999999999997</v>
      </c>
      <c r="L1254" s="9">
        <f t="array" ref="L1254">QUARTILE(IF($F$3:$F$1460=$F1254,$H$3:$H$1460),2)</f>
        <v>275.8</v>
      </c>
      <c r="M1254" s="9">
        <f t="array" ref="M1254">QUARTILE(IF($F$3:$F$1460=$F1254,$H$3:$H$1460),3)</f>
        <v>11191.057499999999</v>
      </c>
    </row>
    <row r="1255" spans="1:13" x14ac:dyDescent="0.25">
      <c r="A1255" s="7">
        <v>1296</v>
      </c>
      <c r="B1255" s="6" t="s">
        <v>1247</v>
      </c>
      <c r="C1255" s="7">
        <v>5752312</v>
      </c>
      <c r="D1255" s="23" t="s">
        <v>1248</v>
      </c>
      <c r="E1255" s="6" t="s">
        <v>1249</v>
      </c>
      <c r="F1255" s="21" t="s">
        <v>9</v>
      </c>
      <c r="G1255" s="6" t="s">
        <v>1252</v>
      </c>
      <c r="H1255" s="22">
        <v>10</v>
      </c>
      <c r="I1255" s="9">
        <v>250</v>
      </c>
      <c r="J1255" s="22">
        <f t="shared" si="13"/>
        <v>2500</v>
      </c>
      <c r="K1255" s="9">
        <f t="array" ref="K1255">QUARTILE(IF($F$3:$F$1460=$F1255,$H$3:$H$1460),1)</f>
        <v>5.1899999999999995</v>
      </c>
      <c r="L1255" s="9">
        <f t="array" ref="L1255">QUARTILE(IF($F$3:$F$1460=$F1255,$H$3:$H$1460),2)</f>
        <v>8.5</v>
      </c>
      <c r="M1255" s="9">
        <f t="array" ref="M1255">QUARTILE(IF($F$3:$F$1460=$F1255,$H$3:$H$1460),3)</f>
        <v>21.95</v>
      </c>
    </row>
    <row r="1256" spans="1:13" x14ac:dyDescent="0.25">
      <c r="A1256" s="7">
        <v>1297</v>
      </c>
      <c r="B1256" s="6" t="s">
        <v>1247</v>
      </c>
      <c r="C1256" s="7">
        <v>5752312</v>
      </c>
      <c r="D1256" s="23" t="s">
        <v>1248</v>
      </c>
      <c r="E1256" s="6" t="s">
        <v>1249</v>
      </c>
      <c r="F1256" s="21" t="s">
        <v>44</v>
      </c>
      <c r="G1256" s="6" t="s">
        <v>1253</v>
      </c>
      <c r="H1256" s="22">
        <v>180</v>
      </c>
      <c r="I1256" s="9">
        <v>250</v>
      </c>
      <c r="J1256" s="22">
        <f t="shared" si="13"/>
        <v>45000</v>
      </c>
      <c r="K1256" s="9">
        <f t="array" ref="K1256">QUARTILE(IF($F$3:$F$1460=$F1256,$H$3:$H$1460),1)</f>
        <v>141.67500000000001</v>
      </c>
      <c r="L1256" s="9">
        <f t="array" ref="L1256">QUARTILE(IF($F$3:$F$1460=$F1256,$H$3:$H$1460),2)</f>
        <v>194</v>
      </c>
      <c r="M1256" s="9">
        <f t="array" ref="M1256">QUARTILE(IF($F$3:$F$1460=$F1256,$H$3:$H$1460),3)</f>
        <v>266.75</v>
      </c>
    </row>
    <row r="1257" spans="1:13" x14ac:dyDescent="0.25">
      <c r="A1257" s="7">
        <v>1298</v>
      </c>
      <c r="B1257" s="6" t="s">
        <v>1046</v>
      </c>
      <c r="C1257" s="7">
        <v>4798515</v>
      </c>
      <c r="D1257" s="23" t="s">
        <v>1254</v>
      </c>
      <c r="E1257" s="6" t="s">
        <v>1255</v>
      </c>
      <c r="F1257" s="21" t="s">
        <v>75</v>
      </c>
      <c r="G1257" s="6" t="s">
        <v>1256</v>
      </c>
      <c r="H1257" s="22">
        <v>16600</v>
      </c>
      <c r="I1257" s="9">
        <v>2</v>
      </c>
      <c r="J1257" s="22">
        <f t="shared" si="13"/>
        <v>33200</v>
      </c>
      <c r="K1257" s="9">
        <f t="array" ref="K1257">QUARTILE(IF($F$3:$F$1460=$F1257,$H$3:$H$1460),1)</f>
        <v>7209.15</v>
      </c>
      <c r="L1257" s="9">
        <f t="array" ref="L1257">QUARTILE(IF($F$3:$F$1460=$F1257,$H$3:$H$1460),2)</f>
        <v>15534.78</v>
      </c>
      <c r="M1257" s="9">
        <f t="array" ref="M1257">QUARTILE(IF($F$3:$F$1460=$F1257,$H$3:$H$1460),3)</f>
        <v>29950.799999999999</v>
      </c>
    </row>
    <row r="1258" spans="1:13" x14ac:dyDescent="0.25">
      <c r="A1258" s="7">
        <v>1299</v>
      </c>
      <c r="B1258" s="6" t="s">
        <v>1046</v>
      </c>
      <c r="C1258" s="7">
        <v>4798515</v>
      </c>
      <c r="D1258" s="23" t="s">
        <v>1254</v>
      </c>
      <c r="E1258" s="6" t="s">
        <v>1255</v>
      </c>
      <c r="F1258" s="21" t="s">
        <v>580</v>
      </c>
      <c r="G1258" s="6" t="s">
        <v>1257</v>
      </c>
      <c r="H1258" s="22">
        <v>47550</v>
      </c>
      <c r="I1258" s="9">
        <v>2</v>
      </c>
      <c r="J1258" s="22">
        <f t="shared" ref="J1258:J1321" si="14">I1258*H1258</f>
        <v>95100</v>
      </c>
      <c r="K1258" s="9">
        <f t="array" ref="K1258">QUARTILE(IF($F$3:$F$1460=$F1258,$H$3:$H$1460),1)</f>
        <v>1759.125</v>
      </c>
      <c r="L1258" s="9">
        <f t="array" ref="L1258">QUARTILE(IF($F$3:$F$1460=$F1258,$H$3:$H$1460),2)</f>
        <v>3923.7249999999999</v>
      </c>
      <c r="M1258" s="9">
        <f t="array" ref="M1258">QUARTILE(IF($F$3:$F$1460=$F1258,$H$3:$H$1460),3)</f>
        <v>12062.504999999999</v>
      </c>
    </row>
    <row r="1259" spans="1:13" x14ac:dyDescent="0.25">
      <c r="A1259" s="7">
        <v>1300</v>
      </c>
      <c r="B1259" s="6" t="s">
        <v>1046</v>
      </c>
      <c r="C1259" s="7">
        <v>4798515</v>
      </c>
      <c r="D1259" s="23" t="s">
        <v>1254</v>
      </c>
      <c r="E1259" s="6" t="s">
        <v>1255</v>
      </c>
      <c r="F1259" s="21" t="s">
        <v>580</v>
      </c>
      <c r="G1259" s="6" t="s">
        <v>1258</v>
      </c>
      <c r="H1259" s="22">
        <v>24175</v>
      </c>
      <c r="I1259" s="9">
        <v>4</v>
      </c>
      <c r="J1259" s="22">
        <f t="shared" si="14"/>
        <v>96700</v>
      </c>
      <c r="K1259" s="9">
        <f t="array" ref="K1259">QUARTILE(IF($F$3:$F$1460=$F1259,$H$3:$H$1460),1)</f>
        <v>1759.125</v>
      </c>
      <c r="L1259" s="9">
        <f t="array" ref="L1259">QUARTILE(IF($F$3:$F$1460=$F1259,$H$3:$H$1460),2)</f>
        <v>3923.7249999999999</v>
      </c>
      <c r="M1259" s="9">
        <f t="array" ref="M1259">QUARTILE(IF($F$3:$F$1460=$F1259,$H$3:$H$1460),3)</f>
        <v>12062.504999999999</v>
      </c>
    </row>
    <row r="1260" spans="1:13" x14ac:dyDescent="0.25">
      <c r="A1260" s="7">
        <v>1301</v>
      </c>
      <c r="B1260" s="6" t="s">
        <v>1046</v>
      </c>
      <c r="C1260" s="7">
        <v>4049710</v>
      </c>
      <c r="D1260" s="23" t="s">
        <v>1259</v>
      </c>
      <c r="E1260" s="6" t="s">
        <v>1260</v>
      </c>
      <c r="F1260" s="21" t="s">
        <v>62</v>
      </c>
      <c r="G1260" s="6" t="s">
        <v>1261</v>
      </c>
      <c r="H1260" s="22">
        <v>865</v>
      </c>
      <c r="I1260" s="9">
        <v>130</v>
      </c>
      <c r="J1260" s="22">
        <f t="shared" si="14"/>
        <v>112450</v>
      </c>
      <c r="K1260" s="9">
        <f t="array" ref="K1260">QUARTILE(IF($F$3:$F$1460=$F1260,$H$3:$H$1460),1)</f>
        <v>783.15</v>
      </c>
      <c r="L1260" s="9">
        <f t="array" ref="L1260">QUARTILE(IF($F$3:$F$1460=$F1260,$H$3:$H$1460),2)</f>
        <v>1196.3</v>
      </c>
      <c r="M1260" s="9">
        <f t="array" ref="M1260">QUARTILE(IF($F$3:$F$1460=$F1260,$H$3:$H$1460),3)</f>
        <v>1455.5</v>
      </c>
    </row>
    <row r="1261" spans="1:13" x14ac:dyDescent="0.25">
      <c r="A1261" s="7">
        <v>1302</v>
      </c>
      <c r="B1261" s="6" t="s">
        <v>1046</v>
      </c>
      <c r="C1261" s="7">
        <v>4049710</v>
      </c>
      <c r="D1261" s="23" t="s">
        <v>1259</v>
      </c>
      <c r="E1261" s="6" t="s">
        <v>1260</v>
      </c>
      <c r="F1261" s="21" t="s">
        <v>44</v>
      </c>
      <c r="G1261" s="6" t="s">
        <v>1262</v>
      </c>
      <c r="H1261" s="22">
        <v>145</v>
      </c>
      <c r="I1261" s="9">
        <v>130</v>
      </c>
      <c r="J1261" s="22">
        <f t="shared" si="14"/>
        <v>18850</v>
      </c>
      <c r="K1261" s="9">
        <f t="array" ref="K1261">QUARTILE(IF($F$3:$F$1460=$F1261,$H$3:$H$1460),1)</f>
        <v>141.67500000000001</v>
      </c>
      <c r="L1261" s="9">
        <f t="array" ref="L1261">QUARTILE(IF($F$3:$F$1460=$F1261,$H$3:$H$1460),2)</f>
        <v>194</v>
      </c>
      <c r="M1261" s="9">
        <f t="array" ref="M1261">QUARTILE(IF($F$3:$F$1460=$F1261,$H$3:$H$1460),3)</f>
        <v>266.75</v>
      </c>
    </row>
    <row r="1262" spans="1:13" x14ac:dyDescent="0.25">
      <c r="A1262" s="7">
        <v>1303</v>
      </c>
      <c r="B1262" s="6" t="s">
        <v>1046</v>
      </c>
      <c r="C1262" s="7">
        <v>4049710</v>
      </c>
      <c r="D1262" s="23" t="s">
        <v>1259</v>
      </c>
      <c r="E1262" s="6" t="s">
        <v>1260</v>
      </c>
      <c r="F1262" s="21" t="s">
        <v>17</v>
      </c>
      <c r="G1262" s="6" t="s">
        <v>1263</v>
      </c>
      <c r="H1262" s="22">
        <v>155</v>
      </c>
      <c r="I1262" s="9">
        <v>130</v>
      </c>
      <c r="J1262" s="22">
        <f t="shared" si="14"/>
        <v>20150</v>
      </c>
      <c r="K1262" s="9">
        <f t="array" ref="K1262">QUARTILE(IF($F$3:$F$1460=$F1262,$H$3:$H$1460),1)</f>
        <v>17.549999999999997</v>
      </c>
      <c r="L1262" s="9">
        <f t="array" ref="L1262">QUARTILE(IF($F$3:$F$1460=$F1262,$H$3:$H$1460),2)</f>
        <v>275.8</v>
      </c>
      <c r="M1262" s="9">
        <f t="array" ref="M1262">QUARTILE(IF($F$3:$F$1460=$F1262,$H$3:$H$1460),3)</f>
        <v>11191.057499999999</v>
      </c>
    </row>
    <row r="1263" spans="1:13" x14ac:dyDescent="0.25">
      <c r="A1263" s="7">
        <v>1304</v>
      </c>
      <c r="B1263" s="6" t="s">
        <v>1264</v>
      </c>
      <c r="C1263" s="7">
        <v>3932451</v>
      </c>
      <c r="D1263" s="23" t="s">
        <v>1265</v>
      </c>
      <c r="E1263" s="6" t="s">
        <v>1266</v>
      </c>
      <c r="F1263" s="21" t="s">
        <v>60</v>
      </c>
      <c r="G1263" s="6" t="s">
        <v>1267</v>
      </c>
      <c r="H1263" s="22">
        <v>701</v>
      </c>
      <c r="I1263" s="9">
        <v>143</v>
      </c>
      <c r="J1263" s="22">
        <f t="shared" si="14"/>
        <v>100243</v>
      </c>
      <c r="K1263" s="9">
        <f t="array" ref="K1263">QUARTILE(IF($F$3:$F$1460=$F1263,$H$3:$H$1460),1)</f>
        <v>680</v>
      </c>
      <c r="L1263" s="9">
        <f t="array" ref="L1263">QUARTILE(IF($F$3:$F$1460=$F1263,$H$3:$H$1460),2)</f>
        <v>991</v>
      </c>
      <c r="M1263" s="9">
        <f t="array" ref="M1263">QUARTILE(IF($F$3:$F$1460=$F1263,$H$3:$H$1460),3)</f>
        <v>1485.8333333333335</v>
      </c>
    </row>
    <row r="1264" spans="1:13" x14ac:dyDescent="0.25">
      <c r="A1264" s="7">
        <v>1305</v>
      </c>
      <c r="B1264" s="6" t="s">
        <v>1264</v>
      </c>
      <c r="C1264" s="7">
        <v>3932451</v>
      </c>
      <c r="D1264" s="23" t="s">
        <v>1265</v>
      </c>
      <c r="E1264" s="6" t="s">
        <v>1266</v>
      </c>
      <c r="F1264" s="21" t="s">
        <v>60</v>
      </c>
      <c r="G1264" s="6" t="s">
        <v>1268</v>
      </c>
      <c r="H1264" s="22">
        <v>1169</v>
      </c>
      <c r="I1264" s="9">
        <v>5</v>
      </c>
      <c r="J1264" s="22">
        <f t="shared" si="14"/>
        <v>5845</v>
      </c>
      <c r="K1264" s="9">
        <f t="array" ref="K1264">QUARTILE(IF($F$3:$F$1460=$F1264,$H$3:$H$1460),1)</f>
        <v>680</v>
      </c>
      <c r="L1264" s="9">
        <f t="array" ref="L1264">QUARTILE(IF($F$3:$F$1460=$F1264,$H$3:$H$1460),2)</f>
        <v>991</v>
      </c>
      <c r="M1264" s="9">
        <f t="array" ref="M1264">QUARTILE(IF($F$3:$F$1460=$F1264,$H$3:$H$1460),3)</f>
        <v>1485.8333333333335</v>
      </c>
    </row>
    <row r="1265" spans="1:13" x14ac:dyDescent="0.25">
      <c r="A1265" s="7">
        <v>1306</v>
      </c>
      <c r="B1265" s="6" t="s">
        <v>1264</v>
      </c>
      <c r="C1265" s="7">
        <v>3932451</v>
      </c>
      <c r="D1265" s="23" t="s">
        <v>1265</v>
      </c>
      <c r="E1265" s="6" t="s">
        <v>1266</v>
      </c>
      <c r="F1265" s="21" t="s">
        <v>44</v>
      </c>
      <c r="G1265" s="6" t="s">
        <v>1269</v>
      </c>
      <c r="H1265" s="22">
        <v>125</v>
      </c>
      <c r="I1265" s="9">
        <v>40</v>
      </c>
      <c r="J1265" s="22">
        <f t="shared" si="14"/>
        <v>5000</v>
      </c>
      <c r="K1265" s="9">
        <f t="array" ref="K1265">QUARTILE(IF($F$3:$F$1460=$F1265,$H$3:$H$1460),1)</f>
        <v>141.67500000000001</v>
      </c>
      <c r="L1265" s="9">
        <f t="array" ref="L1265">QUARTILE(IF($F$3:$F$1460=$F1265,$H$3:$H$1460),2)</f>
        <v>194</v>
      </c>
      <c r="M1265" s="9">
        <f t="array" ref="M1265">QUARTILE(IF($F$3:$F$1460=$F1265,$H$3:$H$1460),3)</f>
        <v>266.75</v>
      </c>
    </row>
    <row r="1266" spans="1:13" x14ac:dyDescent="0.25">
      <c r="A1266" s="7">
        <v>1307</v>
      </c>
      <c r="B1266" s="6" t="s">
        <v>1264</v>
      </c>
      <c r="C1266" s="7">
        <v>3932451</v>
      </c>
      <c r="D1266" s="23" t="s">
        <v>1265</v>
      </c>
      <c r="E1266" s="6" t="s">
        <v>1266</v>
      </c>
      <c r="F1266" s="21" t="s">
        <v>44</v>
      </c>
      <c r="G1266" s="6" t="s">
        <v>1270</v>
      </c>
      <c r="H1266" s="22">
        <v>220</v>
      </c>
      <c r="I1266" s="9">
        <v>10</v>
      </c>
      <c r="J1266" s="22">
        <f t="shared" si="14"/>
        <v>2200</v>
      </c>
      <c r="K1266" s="9">
        <f t="array" ref="K1266">QUARTILE(IF($F$3:$F$1460=$F1266,$H$3:$H$1460),1)</f>
        <v>141.67500000000001</v>
      </c>
      <c r="L1266" s="9">
        <f t="array" ref="L1266">QUARTILE(IF($F$3:$F$1460=$F1266,$H$3:$H$1460),2)</f>
        <v>194</v>
      </c>
      <c r="M1266" s="9">
        <f t="array" ref="M1266">QUARTILE(IF($F$3:$F$1460=$F1266,$H$3:$H$1460),3)</f>
        <v>266.75</v>
      </c>
    </row>
    <row r="1267" spans="1:13" x14ac:dyDescent="0.25">
      <c r="A1267" s="7">
        <v>1308</v>
      </c>
      <c r="B1267" s="6" t="s">
        <v>1264</v>
      </c>
      <c r="C1267" s="7">
        <v>3932451</v>
      </c>
      <c r="D1267" s="23" t="s">
        <v>1265</v>
      </c>
      <c r="E1267" s="6" t="s">
        <v>1266</v>
      </c>
      <c r="F1267" s="21" t="s">
        <v>62</v>
      </c>
      <c r="G1267" s="6" t="s">
        <v>1271</v>
      </c>
      <c r="H1267" s="22">
        <v>1164</v>
      </c>
      <c r="I1267" s="9">
        <v>10</v>
      </c>
      <c r="J1267" s="22">
        <f t="shared" si="14"/>
        <v>11640</v>
      </c>
      <c r="K1267" s="9">
        <f t="array" ref="K1267">QUARTILE(IF($F$3:$F$1460=$F1267,$H$3:$H$1460),1)</f>
        <v>783.15</v>
      </c>
      <c r="L1267" s="9">
        <f t="array" ref="L1267">QUARTILE(IF($F$3:$F$1460=$F1267,$H$3:$H$1460),2)</f>
        <v>1196.3</v>
      </c>
      <c r="M1267" s="9">
        <f t="array" ref="M1267">QUARTILE(IF($F$3:$F$1460=$F1267,$H$3:$H$1460),3)</f>
        <v>1455.5</v>
      </c>
    </row>
    <row r="1268" spans="1:13" x14ac:dyDescent="0.25">
      <c r="A1268" s="7">
        <v>1309</v>
      </c>
      <c r="B1268" s="6" t="s">
        <v>1264</v>
      </c>
      <c r="C1268" s="7">
        <v>3932451</v>
      </c>
      <c r="D1268" s="23" t="s">
        <v>1265</v>
      </c>
      <c r="E1268" s="6" t="s">
        <v>1266</v>
      </c>
      <c r="F1268" s="21" t="s">
        <v>62</v>
      </c>
      <c r="G1268" s="6" t="s">
        <v>1272</v>
      </c>
      <c r="H1268" s="22">
        <v>1338</v>
      </c>
      <c r="I1268" s="9">
        <v>10</v>
      </c>
      <c r="J1268" s="22">
        <f t="shared" si="14"/>
        <v>13380</v>
      </c>
      <c r="K1268" s="9">
        <f t="array" ref="K1268">QUARTILE(IF($F$3:$F$1460=$F1268,$H$3:$H$1460),1)</f>
        <v>783.15</v>
      </c>
      <c r="L1268" s="9">
        <f t="array" ref="L1268">QUARTILE(IF($F$3:$F$1460=$F1268,$H$3:$H$1460),2)</f>
        <v>1196.3</v>
      </c>
      <c r="M1268" s="9">
        <f t="array" ref="M1268">QUARTILE(IF($F$3:$F$1460=$F1268,$H$3:$H$1460),3)</f>
        <v>1455.5</v>
      </c>
    </row>
    <row r="1269" spans="1:13" x14ac:dyDescent="0.25">
      <c r="A1269" s="7">
        <v>1310</v>
      </c>
      <c r="B1269" s="6" t="s">
        <v>1264</v>
      </c>
      <c r="C1269" s="7">
        <v>3932451</v>
      </c>
      <c r="D1269" s="23" t="s">
        <v>1265</v>
      </c>
      <c r="E1269" s="6" t="s">
        <v>1266</v>
      </c>
      <c r="F1269" s="21" t="s">
        <v>54</v>
      </c>
      <c r="G1269" s="6" t="s">
        <v>1273</v>
      </c>
      <c r="H1269" s="22">
        <v>3327.6</v>
      </c>
      <c r="I1269" s="9">
        <v>5</v>
      </c>
      <c r="J1269" s="22">
        <f t="shared" si="14"/>
        <v>16638</v>
      </c>
      <c r="K1269" s="9">
        <f t="array" ref="K1269">QUARTILE(IF($F$3:$F$1460=$F1269,$H$3:$H$1460),1)</f>
        <v>393.94499999999999</v>
      </c>
      <c r="L1269" s="9">
        <f t="array" ref="L1269">QUARTILE(IF($F$3:$F$1460=$F1269,$H$3:$H$1460),2)</f>
        <v>710.01499999999999</v>
      </c>
      <c r="M1269" s="9">
        <f t="array" ref="M1269">QUARTILE(IF($F$3:$F$1460=$F1269,$H$3:$H$1460),3)</f>
        <v>2552.0574999999999</v>
      </c>
    </row>
    <row r="1270" spans="1:13" x14ac:dyDescent="0.25">
      <c r="A1270" s="7">
        <v>1311</v>
      </c>
      <c r="B1270" s="6" t="s">
        <v>1264</v>
      </c>
      <c r="C1270" s="7">
        <v>3932451</v>
      </c>
      <c r="D1270" s="23" t="s">
        <v>1265</v>
      </c>
      <c r="E1270" s="6" t="s">
        <v>1266</v>
      </c>
      <c r="F1270" s="21" t="s">
        <v>46</v>
      </c>
      <c r="G1270" s="6" t="s">
        <v>1274</v>
      </c>
      <c r="H1270" s="22">
        <v>193.2</v>
      </c>
      <c r="I1270" s="9">
        <v>10</v>
      </c>
      <c r="J1270" s="22">
        <f t="shared" si="14"/>
        <v>1932</v>
      </c>
      <c r="K1270" s="9">
        <f t="array" ref="K1270">QUARTILE(IF($F$3:$F$1460=$F1270,$H$3:$H$1460),1)</f>
        <v>229.78</v>
      </c>
      <c r="L1270" s="9">
        <f t="array" ref="L1270">QUARTILE(IF($F$3:$F$1460=$F1270,$H$3:$H$1460),2)</f>
        <v>424.2</v>
      </c>
      <c r="M1270" s="9">
        <f t="array" ref="M1270">QUARTILE(IF($F$3:$F$1460=$F1270,$H$3:$H$1460),3)</f>
        <v>1030.3</v>
      </c>
    </row>
    <row r="1271" spans="1:13" x14ac:dyDescent="0.25">
      <c r="A1271" s="7">
        <v>1312</v>
      </c>
      <c r="B1271" s="6" t="s">
        <v>1264</v>
      </c>
      <c r="C1271" s="7">
        <v>3932451</v>
      </c>
      <c r="D1271" s="23" t="s">
        <v>1265</v>
      </c>
      <c r="E1271" s="6" t="s">
        <v>1266</v>
      </c>
      <c r="F1271" s="21" t="s">
        <v>46</v>
      </c>
      <c r="G1271" s="6" t="s">
        <v>1275</v>
      </c>
      <c r="H1271" s="22">
        <v>148.80000000000001</v>
      </c>
      <c r="I1271" s="9">
        <v>5</v>
      </c>
      <c r="J1271" s="22">
        <f t="shared" si="14"/>
        <v>744</v>
      </c>
      <c r="K1271" s="9">
        <f t="array" ref="K1271">QUARTILE(IF($F$3:$F$1460=$F1271,$H$3:$H$1460),1)</f>
        <v>229.78</v>
      </c>
      <c r="L1271" s="9">
        <f t="array" ref="L1271">QUARTILE(IF($F$3:$F$1460=$F1271,$H$3:$H$1460),2)</f>
        <v>424.2</v>
      </c>
      <c r="M1271" s="9">
        <f t="array" ref="M1271">QUARTILE(IF($F$3:$F$1460=$F1271,$H$3:$H$1460),3)</f>
        <v>1030.3</v>
      </c>
    </row>
    <row r="1272" spans="1:13" x14ac:dyDescent="0.25">
      <c r="A1272" s="7">
        <v>1313</v>
      </c>
      <c r="B1272" s="6" t="s">
        <v>1264</v>
      </c>
      <c r="C1272" s="7">
        <v>3932451</v>
      </c>
      <c r="D1272" s="23" t="s">
        <v>1265</v>
      </c>
      <c r="E1272" s="6" t="s">
        <v>1266</v>
      </c>
      <c r="F1272" s="21" t="s">
        <v>41</v>
      </c>
      <c r="G1272" s="6" t="s">
        <v>1276</v>
      </c>
      <c r="H1272" s="22">
        <v>252</v>
      </c>
      <c r="I1272" s="9">
        <v>10</v>
      </c>
      <c r="J1272" s="22">
        <f t="shared" si="14"/>
        <v>2520</v>
      </c>
      <c r="K1272" s="9">
        <f t="array" ref="K1272">QUARTILE(IF($F$3:$F$1460=$F1272,$H$3:$H$1460),1)</f>
        <v>112.19999999999999</v>
      </c>
      <c r="L1272" s="9">
        <f t="array" ref="L1272">QUARTILE(IF($F$3:$F$1460=$F1272,$H$3:$H$1460),2)</f>
        <v>252</v>
      </c>
      <c r="M1272" s="9">
        <f t="array" ref="M1272">QUARTILE(IF($F$3:$F$1460=$F1272,$H$3:$H$1460),3)</f>
        <v>2310</v>
      </c>
    </row>
    <row r="1273" spans="1:13" x14ac:dyDescent="0.25">
      <c r="A1273" s="7">
        <v>1314</v>
      </c>
      <c r="B1273" s="6" t="s">
        <v>1264</v>
      </c>
      <c r="C1273" s="7">
        <v>3932451</v>
      </c>
      <c r="D1273" s="23" t="s">
        <v>1265</v>
      </c>
      <c r="E1273" s="6" t="s">
        <v>1266</v>
      </c>
      <c r="F1273" s="21" t="s">
        <v>31</v>
      </c>
      <c r="G1273" s="6" t="s">
        <v>1277</v>
      </c>
      <c r="H1273" s="22">
        <v>95</v>
      </c>
      <c r="I1273" s="9">
        <v>15</v>
      </c>
      <c r="J1273" s="22">
        <f t="shared" si="14"/>
        <v>1425</v>
      </c>
      <c r="K1273" s="9">
        <f t="array" ref="K1273">QUARTILE(IF($F$3:$F$1460=$F1273,$H$3:$H$1460),1)</f>
        <v>55.5</v>
      </c>
      <c r="L1273" s="9">
        <f t="array" ref="L1273">QUARTILE(IF($F$3:$F$1460=$F1273,$H$3:$H$1460),2)</f>
        <v>91.88</v>
      </c>
      <c r="M1273" s="9">
        <f t="array" ref="M1273">QUARTILE(IF($F$3:$F$1460=$F1273,$H$3:$H$1460),3)</f>
        <v>148.36000000000001</v>
      </c>
    </row>
    <row r="1274" spans="1:13" x14ac:dyDescent="0.25">
      <c r="A1274" s="7">
        <v>1315</v>
      </c>
      <c r="B1274" s="6" t="s">
        <v>1264</v>
      </c>
      <c r="C1274" s="7">
        <v>3932451</v>
      </c>
      <c r="D1274" s="23" t="s">
        <v>1265</v>
      </c>
      <c r="E1274" s="6" t="s">
        <v>1266</v>
      </c>
      <c r="F1274" s="21" t="s">
        <v>8</v>
      </c>
      <c r="G1274" s="6" t="s">
        <v>1278</v>
      </c>
      <c r="H1274" s="22">
        <v>3.3</v>
      </c>
      <c r="I1274" s="9">
        <v>50</v>
      </c>
      <c r="J1274" s="22">
        <f t="shared" si="14"/>
        <v>165</v>
      </c>
      <c r="K1274" s="9">
        <f t="array" ref="K1274">QUARTILE(IF($F$3:$F$1460=$F1274,$H$3:$H$1460),1)</f>
        <v>4.9000000000000004</v>
      </c>
      <c r="L1274" s="9">
        <f t="array" ref="L1274">QUARTILE(IF($F$3:$F$1460=$F1274,$H$3:$H$1460),2)</f>
        <v>8.4</v>
      </c>
      <c r="M1274" s="9">
        <f t="array" ref="M1274">QUARTILE(IF($F$3:$F$1460=$F1274,$H$3:$H$1460),3)</f>
        <v>14</v>
      </c>
    </row>
    <row r="1275" spans="1:13" x14ac:dyDescent="0.25">
      <c r="A1275" s="7">
        <v>1316</v>
      </c>
      <c r="B1275" s="6" t="s">
        <v>1279</v>
      </c>
      <c r="C1275" s="7">
        <v>5017846</v>
      </c>
      <c r="D1275" s="23" t="s">
        <v>1280</v>
      </c>
      <c r="E1275" s="6" t="s">
        <v>1281</v>
      </c>
      <c r="F1275" s="21" t="s">
        <v>50</v>
      </c>
      <c r="G1275" s="6" t="s">
        <v>1282</v>
      </c>
      <c r="H1275" s="22">
        <v>254</v>
      </c>
      <c r="I1275" s="9">
        <v>6000</v>
      </c>
      <c r="J1275" s="22">
        <f t="shared" si="14"/>
        <v>1524000</v>
      </c>
      <c r="K1275" s="9">
        <f t="array" ref="K1275">QUARTILE(IF($F$3:$F$1460=$F1275,$H$3:$H$1460),1)</f>
        <v>307.64999999999998</v>
      </c>
      <c r="L1275" s="9">
        <f t="array" ref="L1275">QUARTILE(IF($F$3:$F$1460=$F1275,$H$3:$H$1460),2)</f>
        <v>533.63</v>
      </c>
      <c r="M1275" s="9">
        <f t="array" ref="M1275">QUARTILE(IF($F$3:$F$1460=$F1275,$H$3:$H$1460),3)</f>
        <v>761.32</v>
      </c>
    </row>
    <row r="1276" spans="1:13" x14ac:dyDescent="0.25">
      <c r="A1276" s="7">
        <v>1317</v>
      </c>
      <c r="B1276" s="6" t="s">
        <v>1283</v>
      </c>
      <c r="C1276" s="7">
        <v>3938617</v>
      </c>
      <c r="D1276" s="23" t="s">
        <v>1284</v>
      </c>
      <c r="E1276" s="6" t="s">
        <v>1285</v>
      </c>
      <c r="F1276" s="21" t="s">
        <v>46</v>
      </c>
      <c r="G1276" s="6" t="s">
        <v>1286</v>
      </c>
      <c r="H1276" s="22">
        <v>2465</v>
      </c>
      <c r="I1276" s="9">
        <v>1</v>
      </c>
      <c r="J1276" s="22">
        <f t="shared" si="14"/>
        <v>2465</v>
      </c>
      <c r="K1276" s="9">
        <f t="array" ref="K1276">QUARTILE(IF($F$3:$F$1460=$F1276,$H$3:$H$1460),1)</f>
        <v>229.78</v>
      </c>
      <c r="L1276" s="9">
        <f t="array" ref="L1276">QUARTILE(IF($F$3:$F$1460=$F1276,$H$3:$H$1460),2)</f>
        <v>424.2</v>
      </c>
      <c r="M1276" s="9">
        <f t="array" ref="M1276">QUARTILE(IF($F$3:$F$1460=$F1276,$H$3:$H$1460),3)</f>
        <v>1030.3</v>
      </c>
    </row>
    <row r="1277" spans="1:13" x14ac:dyDescent="0.25">
      <c r="A1277" s="7">
        <v>1318</v>
      </c>
      <c r="B1277" s="6" t="s">
        <v>1283</v>
      </c>
      <c r="C1277" s="7">
        <v>3938617</v>
      </c>
      <c r="D1277" s="23" t="s">
        <v>1284</v>
      </c>
      <c r="E1277" s="6" t="s">
        <v>1285</v>
      </c>
      <c r="F1277" s="21" t="s">
        <v>46</v>
      </c>
      <c r="G1277" s="6" t="s">
        <v>1287</v>
      </c>
      <c r="H1277" s="22">
        <v>4550</v>
      </c>
      <c r="I1277" s="9">
        <v>1</v>
      </c>
      <c r="J1277" s="22">
        <f t="shared" si="14"/>
        <v>4550</v>
      </c>
      <c r="K1277" s="9">
        <f t="array" ref="K1277">QUARTILE(IF($F$3:$F$1460=$F1277,$H$3:$H$1460),1)</f>
        <v>229.78</v>
      </c>
      <c r="L1277" s="9">
        <f t="array" ref="L1277">QUARTILE(IF($F$3:$F$1460=$F1277,$H$3:$H$1460),2)</f>
        <v>424.2</v>
      </c>
      <c r="M1277" s="9">
        <f t="array" ref="M1277">QUARTILE(IF($F$3:$F$1460=$F1277,$H$3:$H$1460),3)</f>
        <v>1030.3</v>
      </c>
    </row>
    <row r="1278" spans="1:13" x14ac:dyDescent="0.25">
      <c r="A1278" s="7">
        <v>1319</v>
      </c>
      <c r="B1278" s="6" t="s">
        <v>1283</v>
      </c>
      <c r="C1278" s="7">
        <v>3938617</v>
      </c>
      <c r="D1278" s="23" t="s">
        <v>1284</v>
      </c>
      <c r="E1278" s="6" t="s">
        <v>1285</v>
      </c>
      <c r="F1278" s="21" t="s">
        <v>60</v>
      </c>
      <c r="G1278" s="6" t="s">
        <v>1288</v>
      </c>
      <c r="H1278" s="22">
        <v>800</v>
      </c>
      <c r="I1278" s="9">
        <v>760</v>
      </c>
      <c r="J1278" s="22">
        <f t="shared" si="14"/>
        <v>608000</v>
      </c>
      <c r="K1278" s="9">
        <f t="array" ref="K1278">QUARTILE(IF($F$3:$F$1460=$F1278,$H$3:$H$1460),1)</f>
        <v>680</v>
      </c>
      <c r="L1278" s="9">
        <f t="array" ref="L1278">QUARTILE(IF($F$3:$F$1460=$F1278,$H$3:$H$1460),2)</f>
        <v>991</v>
      </c>
      <c r="M1278" s="9">
        <f t="array" ref="M1278">QUARTILE(IF($F$3:$F$1460=$F1278,$H$3:$H$1460),3)</f>
        <v>1485.8333333333335</v>
      </c>
    </row>
    <row r="1279" spans="1:13" x14ac:dyDescent="0.25">
      <c r="A1279" s="7">
        <v>1320</v>
      </c>
      <c r="B1279" s="6" t="s">
        <v>1283</v>
      </c>
      <c r="C1279" s="7">
        <v>3938617</v>
      </c>
      <c r="D1279" s="23" t="s">
        <v>1284</v>
      </c>
      <c r="E1279" s="6" t="s">
        <v>1285</v>
      </c>
      <c r="F1279" s="21" t="s">
        <v>60</v>
      </c>
      <c r="G1279" s="6" t="s">
        <v>1289</v>
      </c>
      <c r="H1279" s="22">
        <v>993</v>
      </c>
      <c r="I1279" s="9">
        <v>200</v>
      </c>
      <c r="J1279" s="22">
        <f t="shared" si="14"/>
        <v>198600</v>
      </c>
      <c r="K1279" s="9">
        <f t="array" ref="K1279">QUARTILE(IF($F$3:$F$1460=$F1279,$H$3:$H$1460),1)</f>
        <v>680</v>
      </c>
      <c r="L1279" s="9">
        <f t="array" ref="L1279">QUARTILE(IF($F$3:$F$1460=$F1279,$H$3:$H$1460),2)</f>
        <v>991</v>
      </c>
      <c r="M1279" s="9">
        <f t="array" ref="M1279">QUARTILE(IF($F$3:$F$1460=$F1279,$H$3:$H$1460),3)</f>
        <v>1485.8333333333335</v>
      </c>
    </row>
    <row r="1280" spans="1:13" x14ac:dyDescent="0.25">
      <c r="A1280" s="7">
        <v>1321</v>
      </c>
      <c r="B1280" s="6" t="s">
        <v>1283</v>
      </c>
      <c r="C1280" s="7">
        <v>3938617</v>
      </c>
      <c r="D1280" s="23" t="s">
        <v>1284</v>
      </c>
      <c r="E1280" s="6" t="s">
        <v>1285</v>
      </c>
      <c r="F1280" s="21" t="s">
        <v>44</v>
      </c>
      <c r="G1280" s="6" t="s">
        <v>1290</v>
      </c>
      <c r="H1280" s="22">
        <v>175</v>
      </c>
      <c r="I1280" s="9">
        <v>760</v>
      </c>
      <c r="J1280" s="22">
        <f t="shared" si="14"/>
        <v>133000</v>
      </c>
      <c r="K1280" s="9">
        <f t="array" ref="K1280">QUARTILE(IF($F$3:$F$1460=$F1280,$H$3:$H$1460),1)</f>
        <v>141.67500000000001</v>
      </c>
      <c r="L1280" s="9">
        <f t="array" ref="L1280">QUARTILE(IF($F$3:$F$1460=$F1280,$H$3:$H$1460),2)</f>
        <v>194</v>
      </c>
      <c r="M1280" s="9">
        <f t="array" ref="M1280">QUARTILE(IF($F$3:$F$1460=$F1280,$H$3:$H$1460),3)</f>
        <v>266.75</v>
      </c>
    </row>
    <row r="1281" spans="1:14" x14ac:dyDescent="0.25">
      <c r="A1281" s="7">
        <v>1322</v>
      </c>
      <c r="B1281" s="6" t="s">
        <v>1283</v>
      </c>
      <c r="C1281" s="7">
        <v>3938617</v>
      </c>
      <c r="D1281" s="23" t="s">
        <v>1284</v>
      </c>
      <c r="E1281" s="6" t="s">
        <v>1285</v>
      </c>
      <c r="F1281" s="21" t="s">
        <v>44</v>
      </c>
      <c r="G1281" s="6" t="s">
        <v>1291</v>
      </c>
      <c r="H1281" s="22">
        <v>219</v>
      </c>
      <c r="I1281" s="9">
        <v>200</v>
      </c>
      <c r="J1281" s="22">
        <f t="shared" si="14"/>
        <v>43800</v>
      </c>
      <c r="K1281" s="9">
        <f t="array" ref="K1281">QUARTILE(IF($F$3:$F$1460=$F1281,$H$3:$H$1460),1)</f>
        <v>141.67500000000001</v>
      </c>
      <c r="L1281" s="9">
        <f t="array" ref="L1281">QUARTILE(IF($F$3:$F$1460=$F1281,$H$3:$H$1460),2)</f>
        <v>194</v>
      </c>
      <c r="M1281" s="9">
        <f t="array" ref="M1281">QUARTILE(IF($F$3:$F$1460=$F1281,$H$3:$H$1460),3)</f>
        <v>266.75</v>
      </c>
    </row>
    <row r="1282" spans="1:14" x14ac:dyDescent="0.25">
      <c r="A1282" s="7">
        <v>1323</v>
      </c>
      <c r="B1282" s="6" t="s">
        <v>1292</v>
      </c>
      <c r="C1282" s="7">
        <v>4313122</v>
      </c>
      <c r="D1282" s="23" t="s">
        <v>1293</v>
      </c>
      <c r="E1282" s="6" t="s">
        <v>1294</v>
      </c>
      <c r="F1282" s="21" t="s">
        <v>60</v>
      </c>
      <c r="G1282" s="6" t="s">
        <v>1295</v>
      </c>
      <c r="H1282" s="22">
        <v>5451</v>
      </c>
      <c r="I1282" s="9">
        <v>6</v>
      </c>
      <c r="J1282" s="22">
        <f t="shared" si="14"/>
        <v>32706</v>
      </c>
      <c r="K1282" s="9">
        <f t="array" ref="K1282">QUARTILE(IF($F$3:$F$1460=$F1282,$H$3:$H$1460),1)</f>
        <v>680</v>
      </c>
      <c r="L1282" s="9">
        <f t="array" ref="L1282">QUARTILE(IF($F$3:$F$1460=$F1282,$H$3:$H$1460),2)</f>
        <v>991</v>
      </c>
      <c r="M1282" s="9">
        <f t="array" ref="M1282">QUARTILE(IF($F$3:$F$1460=$F1282,$H$3:$H$1460),3)</f>
        <v>1485.8333333333335</v>
      </c>
    </row>
    <row r="1283" spans="1:14" x14ac:dyDescent="0.25">
      <c r="A1283" s="7">
        <v>1324</v>
      </c>
      <c r="B1283" s="6" t="s">
        <v>1292</v>
      </c>
      <c r="C1283" s="7">
        <v>4313122</v>
      </c>
      <c r="D1283" s="23" t="s">
        <v>1293</v>
      </c>
      <c r="E1283" s="6" t="s">
        <v>1294</v>
      </c>
      <c r="F1283" s="21" t="s">
        <v>46</v>
      </c>
      <c r="G1283" s="6" t="s">
        <v>1296</v>
      </c>
      <c r="H1283" s="22">
        <v>2620</v>
      </c>
      <c r="I1283" s="9">
        <v>8</v>
      </c>
      <c r="J1283" s="22">
        <f t="shared" si="14"/>
        <v>20960</v>
      </c>
      <c r="K1283" s="9">
        <f t="array" ref="K1283">QUARTILE(IF($F$3:$F$1460=$F1283,$H$3:$H$1460),1)</f>
        <v>229.78</v>
      </c>
      <c r="L1283" s="9">
        <f t="array" ref="L1283">QUARTILE(IF($F$3:$F$1460=$F1283,$H$3:$H$1460),2)</f>
        <v>424.2</v>
      </c>
      <c r="M1283" s="9">
        <f t="array" ref="M1283">QUARTILE(IF($F$3:$F$1460=$F1283,$H$3:$H$1460),3)</f>
        <v>1030.3</v>
      </c>
    </row>
    <row r="1284" spans="1:14" x14ac:dyDescent="0.25">
      <c r="A1284" s="7">
        <v>1325</v>
      </c>
      <c r="B1284" s="6" t="s">
        <v>1292</v>
      </c>
      <c r="C1284" s="7">
        <v>4313122</v>
      </c>
      <c r="D1284" s="23" t="s">
        <v>1293</v>
      </c>
      <c r="E1284" s="6" t="s">
        <v>1294</v>
      </c>
      <c r="F1284" s="21" t="s">
        <v>70</v>
      </c>
      <c r="G1284" s="6" t="s">
        <v>1297</v>
      </c>
      <c r="H1284" s="22">
        <v>2700</v>
      </c>
      <c r="I1284" s="9">
        <v>1</v>
      </c>
      <c r="J1284" s="22">
        <f t="shared" si="14"/>
        <v>2700</v>
      </c>
      <c r="K1284" s="9">
        <f t="array" ref="K1284">QUARTILE(IF($F$3:$F$1460=$F1284,$H$3:$H$1460),1)</f>
        <v>2700</v>
      </c>
      <c r="L1284" s="9">
        <f t="array" ref="L1284">QUARTILE(IF($F$3:$F$1460=$F1284,$H$3:$H$1460),2)</f>
        <v>2700</v>
      </c>
      <c r="M1284" s="9">
        <f t="array" ref="M1284">QUARTILE(IF($F$3:$F$1460=$F1284,$H$3:$H$1460),3)</f>
        <v>2750</v>
      </c>
    </row>
    <row r="1285" spans="1:14" x14ac:dyDescent="0.25">
      <c r="A1285" s="7">
        <v>1326</v>
      </c>
      <c r="B1285" s="6" t="s">
        <v>1292</v>
      </c>
      <c r="C1285" s="7">
        <v>4313122</v>
      </c>
      <c r="D1285" s="23" t="s">
        <v>1293</v>
      </c>
      <c r="E1285" s="6" t="s">
        <v>1294</v>
      </c>
      <c r="F1285" s="21" t="s">
        <v>61</v>
      </c>
      <c r="G1285" s="6" t="s">
        <v>1298</v>
      </c>
      <c r="H1285" s="22">
        <v>1000</v>
      </c>
      <c r="I1285" s="9">
        <v>1</v>
      </c>
      <c r="J1285" s="22">
        <f t="shared" si="14"/>
        <v>1000</v>
      </c>
      <c r="K1285" s="9">
        <f t="array" ref="K1285">QUARTILE(IF($F$3:$F$1460=$F1285,$H$3:$H$1460),1)</f>
        <v>709.95</v>
      </c>
      <c r="L1285" s="9">
        <f t="array" ref="L1285">QUARTILE(IF($F$3:$F$1460=$F1285,$H$3:$H$1460),2)</f>
        <v>1000</v>
      </c>
      <c r="M1285" s="9">
        <f t="array" ref="M1285">QUARTILE(IF($F$3:$F$1460=$F1285,$H$3:$H$1460),3)</f>
        <v>5171.4583333333339</v>
      </c>
    </row>
    <row r="1286" spans="1:14" x14ac:dyDescent="0.25">
      <c r="A1286" s="7">
        <v>1327</v>
      </c>
      <c r="B1286" s="6" t="s">
        <v>1299</v>
      </c>
      <c r="C1286" s="7">
        <v>4178604</v>
      </c>
      <c r="D1286" s="23" t="s">
        <v>1300</v>
      </c>
      <c r="E1286" s="6" t="s">
        <v>1301</v>
      </c>
      <c r="F1286" s="21" t="s">
        <v>44</v>
      </c>
      <c r="G1286" s="6" t="s">
        <v>1302</v>
      </c>
      <c r="H1286" s="22">
        <v>187.5</v>
      </c>
      <c r="I1286" s="9">
        <v>80</v>
      </c>
      <c r="J1286" s="22">
        <f t="shared" si="14"/>
        <v>15000</v>
      </c>
      <c r="K1286" s="9">
        <f t="array" ref="K1286">QUARTILE(IF($F$3:$F$1460=$F1286,$H$3:$H$1460),1)</f>
        <v>141.67500000000001</v>
      </c>
      <c r="L1286" s="9">
        <f t="array" ref="L1286">QUARTILE(IF($F$3:$F$1460=$F1286,$H$3:$H$1460),2)</f>
        <v>194</v>
      </c>
      <c r="M1286" s="9">
        <f t="array" ref="M1286">QUARTILE(IF($F$3:$F$1460=$F1286,$H$3:$H$1460),3)</f>
        <v>266.75</v>
      </c>
    </row>
    <row r="1287" spans="1:14" x14ac:dyDescent="0.25">
      <c r="A1287" s="7">
        <v>1328</v>
      </c>
      <c r="B1287" s="6" t="s">
        <v>1299</v>
      </c>
      <c r="C1287" s="7">
        <v>4178604</v>
      </c>
      <c r="D1287" s="23" t="s">
        <v>1300</v>
      </c>
      <c r="E1287" s="6" t="s">
        <v>1301</v>
      </c>
      <c r="F1287" s="21" t="s">
        <v>44</v>
      </c>
      <c r="G1287" s="6" t="s">
        <v>1303</v>
      </c>
      <c r="H1287" s="22">
        <v>1062.5</v>
      </c>
      <c r="I1287" s="9">
        <v>80</v>
      </c>
      <c r="J1287" s="22">
        <f t="shared" si="14"/>
        <v>85000</v>
      </c>
      <c r="K1287" s="9">
        <f t="array" ref="K1287">QUARTILE(IF($F$3:$F$1460=$F1287,$H$3:$H$1460),1)</f>
        <v>141.67500000000001</v>
      </c>
      <c r="L1287" s="9">
        <f t="array" ref="L1287">QUARTILE(IF($F$3:$F$1460=$F1287,$H$3:$H$1460),2)</f>
        <v>194</v>
      </c>
      <c r="M1287" s="9">
        <f t="array" ref="M1287">QUARTILE(IF($F$3:$F$1460=$F1287,$H$3:$H$1460),3)</f>
        <v>266.75</v>
      </c>
    </row>
    <row r="1288" spans="1:14" s="11" customFormat="1" x14ac:dyDescent="0.25">
      <c r="A1288" s="36">
        <v>1281</v>
      </c>
      <c r="B1288" s="10" t="s">
        <v>1304</v>
      </c>
      <c r="C1288" s="36">
        <v>6070742</v>
      </c>
      <c r="D1288" s="37" t="s">
        <v>1305</v>
      </c>
      <c r="E1288" s="10" t="s">
        <v>1306</v>
      </c>
      <c r="F1288" s="21" t="s">
        <v>39</v>
      </c>
      <c r="G1288" s="73" t="s">
        <v>1307</v>
      </c>
      <c r="H1288" s="12">
        <f>125.2+23.28+24.08</f>
        <v>172.56</v>
      </c>
      <c r="I1288" s="13">
        <v>5</v>
      </c>
      <c r="J1288" s="12">
        <f t="shared" si="14"/>
        <v>862.8</v>
      </c>
      <c r="K1288" s="9">
        <f t="array" ref="K1288">QUARTILE(IF($F$3:$F$1460=$F1288,$H$3:$H$1460),1)</f>
        <v>98.7</v>
      </c>
      <c r="L1288" s="9">
        <f t="array" ref="L1288">QUARTILE(IF($F$3:$F$1460=$F1288,$H$3:$H$1460),2)</f>
        <v>172.56</v>
      </c>
      <c r="M1288" s="9">
        <f t="array" ref="M1288">QUARTILE(IF($F$3:$F$1460=$F1288,$H$3:$H$1460),3)</f>
        <v>2312.5</v>
      </c>
      <c r="N1288" s="5"/>
    </row>
    <row r="1289" spans="1:14" x14ac:dyDescent="0.25">
      <c r="A1289" s="7">
        <v>1282</v>
      </c>
      <c r="B1289" s="6" t="s">
        <v>1304</v>
      </c>
      <c r="C1289" s="7">
        <v>6070742</v>
      </c>
      <c r="D1289" s="23" t="s">
        <v>1305</v>
      </c>
      <c r="E1289" s="6" t="s">
        <v>1306</v>
      </c>
      <c r="F1289" s="21" t="s">
        <v>37</v>
      </c>
      <c r="G1289" s="6" t="s">
        <v>1308</v>
      </c>
      <c r="H1289" s="22">
        <f>0.4*305</f>
        <v>122</v>
      </c>
      <c r="I1289" s="9">
        <f>7500/305</f>
        <v>24.590163934426229</v>
      </c>
      <c r="J1289" s="22">
        <f t="shared" si="14"/>
        <v>3000</v>
      </c>
      <c r="K1289" s="9">
        <f t="array" ref="K1289">QUARTILE(IF($F$3:$F$1460=$F1289,$H$3:$H$1460),1)</f>
        <v>89.477499999999992</v>
      </c>
      <c r="L1289" s="9">
        <f t="array" ref="L1289">QUARTILE(IF($F$3:$F$1460=$F1289,$H$3:$H$1460),2)</f>
        <v>121</v>
      </c>
      <c r="M1289" s="9">
        <f t="array" ref="M1289">QUARTILE(IF($F$3:$F$1460=$F1289,$H$3:$H$1460),3)</f>
        <v>139.9025</v>
      </c>
    </row>
    <row r="1290" spans="1:14" x14ac:dyDescent="0.25">
      <c r="A1290" s="7">
        <v>1283</v>
      </c>
      <c r="B1290" s="6" t="s">
        <v>1304</v>
      </c>
      <c r="C1290" s="7">
        <v>6070742</v>
      </c>
      <c r="D1290" s="23" t="s">
        <v>1305</v>
      </c>
      <c r="E1290" s="6" t="s">
        <v>1306</v>
      </c>
      <c r="F1290" s="21" t="s">
        <v>580</v>
      </c>
      <c r="G1290" s="6" t="s">
        <v>1309</v>
      </c>
      <c r="H1290" s="22">
        <v>5898.4</v>
      </c>
      <c r="I1290" s="9">
        <v>4</v>
      </c>
      <c r="J1290" s="22">
        <f t="shared" si="14"/>
        <v>23593.599999999999</v>
      </c>
      <c r="K1290" s="9">
        <f t="array" ref="K1290">QUARTILE(IF($F$3:$F$1460=$F1290,$H$3:$H$1460),1)</f>
        <v>1759.125</v>
      </c>
      <c r="L1290" s="9">
        <f t="array" ref="L1290">QUARTILE(IF($F$3:$F$1460=$F1290,$H$3:$H$1460),2)</f>
        <v>3923.7249999999999</v>
      </c>
      <c r="M1290" s="9">
        <f t="array" ref="M1290">QUARTILE(IF($F$3:$F$1460=$F1290,$H$3:$H$1460),3)</f>
        <v>12062.504999999999</v>
      </c>
    </row>
    <row r="1291" spans="1:14" x14ac:dyDescent="0.25">
      <c r="A1291" s="7">
        <v>1284</v>
      </c>
      <c r="B1291" s="6" t="s">
        <v>1304</v>
      </c>
      <c r="C1291" s="7">
        <v>6070742</v>
      </c>
      <c r="D1291" s="23" t="s">
        <v>1305</v>
      </c>
      <c r="E1291" s="6" t="s">
        <v>1306</v>
      </c>
      <c r="F1291" s="21" t="s">
        <v>580</v>
      </c>
      <c r="G1291" s="6" t="s">
        <v>1310</v>
      </c>
      <c r="H1291" s="22">
        <v>1396.5</v>
      </c>
      <c r="I1291" s="9">
        <v>50</v>
      </c>
      <c r="J1291" s="22">
        <f t="shared" si="14"/>
        <v>69825</v>
      </c>
      <c r="K1291" s="9">
        <f t="array" ref="K1291">QUARTILE(IF($F$3:$F$1460=$F1291,$H$3:$H$1460),1)</f>
        <v>1759.125</v>
      </c>
      <c r="L1291" s="9">
        <f t="array" ref="L1291">QUARTILE(IF($F$3:$F$1460=$F1291,$H$3:$H$1460),2)</f>
        <v>3923.7249999999999</v>
      </c>
      <c r="M1291" s="9">
        <f t="array" ref="M1291">QUARTILE(IF($F$3:$F$1460=$F1291,$H$3:$H$1460),3)</f>
        <v>12062.504999999999</v>
      </c>
    </row>
    <row r="1292" spans="1:14" x14ac:dyDescent="0.25">
      <c r="A1292" s="7">
        <v>1285</v>
      </c>
      <c r="B1292" s="6" t="s">
        <v>1304</v>
      </c>
      <c r="C1292" s="7">
        <v>6070742</v>
      </c>
      <c r="D1292" s="23" t="s">
        <v>1305</v>
      </c>
      <c r="E1292" s="6" t="s">
        <v>1306</v>
      </c>
      <c r="F1292" s="21" t="s">
        <v>36</v>
      </c>
      <c r="G1292" s="6" t="s">
        <v>1311</v>
      </c>
      <c r="H1292" s="22">
        <v>602.20000000000005</v>
      </c>
      <c r="I1292" s="9">
        <v>20</v>
      </c>
      <c r="J1292" s="22">
        <f t="shared" si="14"/>
        <v>12044</v>
      </c>
      <c r="K1292" s="9">
        <f t="array" ref="K1292">QUARTILE(IF($F$3:$F$1460=$F1292,$H$3:$H$1460),1)</f>
        <v>88.21</v>
      </c>
      <c r="L1292" s="9">
        <f t="array" ref="L1292">QUARTILE(IF($F$3:$F$1460=$F1292,$H$3:$H$1460),2)</f>
        <v>134.57</v>
      </c>
      <c r="M1292" s="9">
        <f t="array" ref="M1292">QUARTILE(IF($F$3:$F$1460=$F1292,$H$3:$H$1460),3)</f>
        <v>252.7</v>
      </c>
    </row>
    <row r="1293" spans="1:14" x14ac:dyDescent="0.25">
      <c r="A1293" s="7">
        <v>1286</v>
      </c>
      <c r="B1293" s="6" t="s">
        <v>1304</v>
      </c>
      <c r="C1293" s="7">
        <v>6070742</v>
      </c>
      <c r="D1293" s="23" t="s">
        <v>1305</v>
      </c>
      <c r="E1293" s="6" t="s">
        <v>1306</v>
      </c>
      <c r="F1293" s="21" t="s">
        <v>36</v>
      </c>
      <c r="G1293" s="6" t="s">
        <v>1312</v>
      </c>
      <c r="H1293" s="22">
        <v>250.4</v>
      </c>
      <c r="I1293" s="9">
        <v>24</v>
      </c>
      <c r="J1293" s="22">
        <f t="shared" si="14"/>
        <v>6009.6</v>
      </c>
      <c r="K1293" s="9">
        <f t="array" ref="K1293">QUARTILE(IF($F$3:$F$1460=$F1293,$H$3:$H$1460),1)</f>
        <v>88.21</v>
      </c>
      <c r="L1293" s="9">
        <f t="array" ref="L1293">QUARTILE(IF($F$3:$F$1460=$F1293,$H$3:$H$1460),2)</f>
        <v>134.57</v>
      </c>
      <c r="M1293" s="9">
        <f t="array" ref="M1293">QUARTILE(IF($F$3:$F$1460=$F1293,$H$3:$H$1460),3)</f>
        <v>252.7</v>
      </c>
    </row>
    <row r="1294" spans="1:14" x14ac:dyDescent="0.25">
      <c r="A1294" s="7">
        <v>1287</v>
      </c>
      <c r="B1294" s="6" t="s">
        <v>1304</v>
      </c>
      <c r="C1294" s="7">
        <v>6070742</v>
      </c>
      <c r="D1294" s="23" t="s">
        <v>1305</v>
      </c>
      <c r="E1294" s="6" t="s">
        <v>1306</v>
      </c>
      <c r="F1294" s="21" t="s">
        <v>79</v>
      </c>
      <c r="G1294" s="6" t="s">
        <v>1313</v>
      </c>
      <c r="H1294" s="22">
        <v>14665.8</v>
      </c>
      <c r="I1294" s="9">
        <v>1</v>
      </c>
      <c r="J1294" s="22">
        <f t="shared" si="14"/>
        <v>14665.8</v>
      </c>
      <c r="K1294" s="9">
        <f t="array" ref="K1294">QUARTILE(IF($F$3:$F$1460=$F1294,$H$3:$H$1460),1)</f>
        <v>17598.830000000002</v>
      </c>
      <c r="L1294" s="9">
        <f t="array" ref="L1294">QUARTILE(IF($F$3:$F$1460=$F1294,$H$3:$H$1460),2)</f>
        <v>60471.06</v>
      </c>
      <c r="M1294" s="9">
        <f t="array" ref="M1294">QUARTILE(IF($F$3:$F$1460=$F1294,$H$3:$H$1460),3)</f>
        <v>139860.215</v>
      </c>
    </row>
    <row r="1295" spans="1:14" x14ac:dyDescent="0.25">
      <c r="A1295" s="7">
        <v>1288</v>
      </c>
      <c r="B1295" s="6" t="s">
        <v>1314</v>
      </c>
      <c r="C1295" s="7">
        <v>4663425</v>
      </c>
      <c r="D1295" s="23" t="s">
        <v>1315</v>
      </c>
      <c r="E1295" s="6" t="s">
        <v>1316</v>
      </c>
      <c r="F1295" s="21" t="s">
        <v>68</v>
      </c>
      <c r="G1295" s="45" t="s">
        <v>1317</v>
      </c>
      <c r="H1295" s="22">
        <v>206189.2</v>
      </c>
      <c r="I1295" s="9">
        <v>1</v>
      </c>
      <c r="J1295" s="22">
        <f t="shared" si="14"/>
        <v>206189.2</v>
      </c>
      <c r="K1295" s="9">
        <f t="array" ref="K1295">QUARTILE(IF($F$3:$F$1460=$F1295,$H$3:$H$1460),1)</f>
        <v>2032</v>
      </c>
      <c r="L1295" s="9">
        <f t="array" ref="L1295">QUARTILE(IF($F$3:$F$1460=$F1295,$H$3:$H$1460),2)</f>
        <v>19360</v>
      </c>
      <c r="M1295" s="9">
        <f t="array" ref="M1295">QUARTILE(IF($F$3:$F$1460=$F1295,$H$3:$H$1460),3)</f>
        <v>87628.37</v>
      </c>
    </row>
    <row r="1296" spans="1:14" x14ac:dyDescent="0.25">
      <c r="A1296" s="7">
        <v>1289</v>
      </c>
      <c r="B1296" s="6" t="s">
        <v>1314</v>
      </c>
      <c r="C1296" s="7">
        <v>4663425</v>
      </c>
      <c r="D1296" s="23" t="s">
        <v>1315</v>
      </c>
      <c r="E1296" s="6" t="s">
        <v>1316</v>
      </c>
      <c r="F1296" s="21" t="s">
        <v>68</v>
      </c>
      <c r="G1296" s="45" t="s">
        <v>1318</v>
      </c>
      <c r="H1296" s="22">
        <v>146782.79999999999</v>
      </c>
      <c r="I1296" s="9">
        <v>1</v>
      </c>
      <c r="J1296" s="22">
        <f t="shared" si="14"/>
        <v>146782.79999999999</v>
      </c>
      <c r="K1296" s="9">
        <f t="array" ref="K1296">QUARTILE(IF($F$3:$F$1460=$F1296,$H$3:$H$1460),1)</f>
        <v>2032</v>
      </c>
      <c r="L1296" s="9">
        <f t="array" ref="L1296">QUARTILE(IF($F$3:$F$1460=$F1296,$H$3:$H$1460),2)</f>
        <v>19360</v>
      </c>
      <c r="M1296" s="9">
        <f t="array" ref="M1296">QUARTILE(IF($F$3:$F$1460=$F1296,$H$3:$H$1460),3)</f>
        <v>87628.37</v>
      </c>
    </row>
    <row r="1297" spans="1:13" x14ac:dyDescent="0.25">
      <c r="A1297" s="7">
        <v>1290</v>
      </c>
      <c r="B1297" s="6" t="s">
        <v>1319</v>
      </c>
      <c r="C1297" s="7">
        <v>6155202</v>
      </c>
      <c r="D1297" s="23" t="s">
        <v>1320</v>
      </c>
      <c r="E1297" s="6" t="s">
        <v>1321</v>
      </c>
      <c r="F1297" s="21" t="s">
        <v>73</v>
      </c>
      <c r="G1297" s="45" t="s">
        <v>1322</v>
      </c>
      <c r="H1297" s="22">
        <v>6245.7</v>
      </c>
      <c r="I1297" s="9">
        <v>1</v>
      </c>
      <c r="J1297" s="22">
        <f t="shared" si="14"/>
        <v>6245.7</v>
      </c>
      <c r="K1297" s="9">
        <f t="array" ref="K1297">QUARTILE(IF($F$3:$F$1460=$F1297,$H$3:$H$1460),1)</f>
        <v>6245.7</v>
      </c>
      <c r="L1297" s="9">
        <f t="array" ref="L1297">QUARTILE(IF($F$3:$F$1460=$F1297,$H$3:$H$1460),2)</f>
        <v>6245.7</v>
      </c>
      <c r="M1297" s="9">
        <f t="array" ref="M1297">QUARTILE(IF($F$3:$F$1460=$F1297,$H$3:$H$1460),3)</f>
        <v>6245.7</v>
      </c>
    </row>
    <row r="1298" spans="1:13" x14ac:dyDescent="0.25">
      <c r="A1298" s="7">
        <v>1291</v>
      </c>
      <c r="B1298" s="6" t="s">
        <v>1319</v>
      </c>
      <c r="C1298" s="7">
        <v>6155202</v>
      </c>
      <c r="D1298" s="23" t="s">
        <v>1320</v>
      </c>
      <c r="E1298" s="6" t="s">
        <v>1321</v>
      </c>
      <c r="F1298" s="21" t="s">
        <v>75</v>
      </c>
      <c r="G1298" s="45" t="s">
        <v>1323</v>
      </c>
      <c r="H1298" s="22">
        <v>7209.15</v>
      </c>
      <c r="I1298" s="9">
        <v>2</v>
      </c>
      <c r="J1298" s="22">
        <f t="shared" si="14"/>
        <v>14418.3</v>
      </c>
      <c r="K1298" s="9">
        <f t="array" ref="K1298">QUARTILE(IF($F$3:$F$1460=$F1298,$H$3:$H$1460),1)</f>
        <v>7209.15</v>
      </c>
      <c r="L1298" s="9">
        <f t="array" ref="L1298">QUARTILE(IF($F$3:$F$1460=$F1298,$H$3:$H$1460),2)</f>
        <v>15534.78</v>
      </c>
      <c r="M1298" s="9">
        <f t="array" ref="M1298">QUARTILE(IF($F$3:$F$1460=$F1298,$H$3:$H$1460),3)</f>
        <v>29950.799999999999</v>
      </c>
    </row>
    <row r="1299" spans="1:13" x14ac:dyDescent="0.25">
      <c r="A1299" s="7">
        <v>1292</v>
      </c>
      <c r="B1299" s="6" t="s">
        <v>1319</v>
      </c>
      <c r="C1299" s="7">
        <v>6155202</v>
      </c>
      <c r="D1299" s="23" t="s">
        <v>1320</v>
      </c>
      <c r="E1299" s="6" t="s">
        <v>1321</v>
      </c>
      <c r="F1299" s="21" t="s">
        <v>75</v>
      </c>
      <c r="G1299" s="45" t="s">
        <v>1324</v>
      </c>
      <c r="H1299" s="22">
        <v>5125</v>
      </c>
      <c r="I1299" s="9">
        <v>1</v>
      </c>
      <c r="J1299" s="22">
        <f t="shared" si="14"/>
        <v>5125</v>
      </c>
      <c r="K1299" s="9">
        <f t="array" ref="K1299">QUARTILE(IF($F$3:$F$1460=$F1299,$H$3:$H$1460),1)</f>
        <v>7209.15</v>
      </c>
      <c r="L1299" s="9">
        <f t="array" ref="L1299">QUARTILE(IF($F$3:$F$1460=$F1299,$H$3:$H$1460),2)</f>
        <v>15534.78</v>
      </c>
      <c r="M1299" s="9">
        <f t="array" ref="M1299">QUARTILE(IF($F$3:$F$1460=$F1299,$H$3:$H$1460),3)</f>
        <v>29950.799999999999</v>
      </c>
    </row>
    <row r="1300" spans="1:13" x14ac:dyDescent="0.25">
      <c r="A1300" s="7">
        <v>1293</v>
      </c>
      <c r="B1300" s="6" t="s">
        <v>1319</v>
      </c>
      <c r="C1300" s="7">
        <v>6155202</v>
      </c>
      <c r="D1300" s="23" t="s">
        <v>1320</v>
      </c>
      <c r="E1300" s="6" t="s">
        <v>1321</v>
      </c>
      <c r="F1300" s="21" t="s">
        <v>68</v>
      </c>
      <c r="G1300" s="45" t="s">
        <v>1325</v>
      </c>
      <c r="H1300" s="22">
        <v>20450.099999999999</v>
      </c>
      <c r="I1300" s="9">
        <v>1</v>
      </c>
      <c r="J1300" s="22">
        <f t="shared" si="14"/>
        <v>20450.099999999999</v>
      </c>
      <c r="K1300" s="9">
        <f t="array" ref="K1300">QUARTILE(IF($F$3:$F$1460=$F1300,$H$3:$H$1460),1)</f>
        <v>2032</v>
      </c>
      <c r="L1300" s="9">
        <f t="array" ref="L1300">QUARTILE(IF($F$3:$F$1460=$F1300,$H$3:$H$1460),2)</f>
        <v>19360</v>
      </c>
      <c r="M1300" s="9">
        <f t="array" ref="M1300">QUARTILE(IF($F$3:$F$1460=$F1300,$H$3:$H$1460),3)</f>
        <v>87628.37</v>
      </c>
    </row>
    <row r="1301" spans="1:13" x14ac:dyDescent="0.25">
      <c r="A1301" s="7">
        <v>1294</v>
      </c>
      <c r="B1301" s="6" t="s">
        <v>1319</v>
      </c>
      <c r="C1301" s="7">
        <v>6155202</v>
      </c>
      <c r="D1301" s="23" t="s">
        <v>1320</v>
      </c>
      <c r="E1301" s="6" t="s">
        <v>1321</v>
      </c>
      <c r="F1301" s="21" t="s">
        <v>76</v>
      </c>
      <c r="G1301" s="6" t="s">
        <v>1326</v>
      </c>
      <c r="H1301" s="22">
        <v>2757.6</v>
      </c>
      <c r="I1301" s="9">
        <v>1</v>
      </c>
      <c r="J1301" s="22">
        <f t="shared" si="14"/>
        <v>2757.6</v>
      </c>
      <c r="K1301" s="9">
        <f t="array" ref="K1301">QUARTILE(IF($F$3:$F$1460=$F1301,$H$3:$H$1460),1)</f>
        <v>11441.9125</v>
      </c>
      <c r="L1301" s="9">
        <f t="array" ref="L1301">QUARTILE(IF($F$3:$F$1460=$F1301,$H$3:$H$1460),2)</f>
        <v>24241.455000000002</v>
      </c>
      <c r="M1301" s="9">
        <f t="array" ref="M1301">QUARTILE(IF($F$3:$F$1460=$F1301,$H$3:$H$1460),3)</f>
        <v>41877.177500000005</v>
      </c>
    </row>
    <row r="1302" spans="1:13" x14ac:dyDescent="0.25">
      <c r="A1302" s="7">
        <v>1295</v>
      </c>
      <c r="B1302" s="6" t="s">
        <v>1319</v>
      </c>
      <c r="C1302" s="7">
        <v>6155202</v>
      </c>
      <c r="D1302" s="23" t="s">
        <v>1320</v>
      </c>
      <c r="E1302" s="6" t="s">
        <v>1321</v>
      </c>
      <c r="F1302" s="21" t="s">
        <v>79</v>
      </c>
      <c r="G1302" s="6" t="s">
        <v>1327</v>
      </c>
      <c r="H1302" s="22">
        <v>9576.65</v>
      </c>
      <c r="I1302" s="9">
        <v>2</v>
      </c>
      <c r="J1302" s="22">
        <f t="shared" si="14"/>
        <v>19153.3</v>
      </c>
      <c r="K1302" s="9">
        <f t="array" ref="K1302">QUARTILE(IF($F$3:$F$1460=$F1302,$H$3:$H$1460),1)</f>
        <v>17598.830000000002</v>
      </c>
      <c r="L1302" s="9">
        <f t="array" ref="L1302">QUARTILE(IF($F$3:$F$1460=$F1302,$H$3:$H$1460),2)</f>
        <v>60471.06</v>
      </c>
      <c r="M1302" s="9">
        <f t="array" ref="M1302">QUARTILE(IF($F$3:$F$1460=$F1302,$H$3:$H$1460),3)</f>
        <v>139860.215</v>
      </c>
    </row>
    <row r="1303" spans="1:13" x14ac:dyDescent="0.25">
      <c r="A1303" s="7">
        <v>1296</v>
      </c>
      <c r="B1303" s="6" t="s">
        <v>1319</v>
      </c>
      <c r="C1303" s="7">
        <v>6155202</v>
      </c>
      <c r="D1303" s="23" t="s">
        <v>1320</v>
      </c>
      <c r="E1303" s="6" t="s">
        <v>1321</v>
      </c>
      <c r="F1303" s="21" t="s">
        <v>580</v>
      </c>
      <c r="G1303" s="6" t="s">
        <v>1328</v>
      </c>
      <c r="H1303" s="22">
        <v>6390.4</v>
      </c>
      <c r="I1303" s="9">
        <v>2</v>
      </c>
      <c r="J1303" s="22">
        <f t="shared" si="14"/>
        <v>12780.8</v>
      </c>
      <c r="K1303" s="9">
        <f t="array" ref="K1303">QUARTILE(IF($F$3:$F$1460=$F1303,$H$3:$H$1460),1)</f>
        <v>1759.125</v>
      </c>
      <c r="L1303" s="9">
        <f t="array" ref="L1303">QUARTILE(IF($F$3:$F$1460=$F1303,$H$3:$H$1460),2)</f>
        <v>3923.7249999999999</v>
      </c>
      <c r="M1303" s="9">
        <f t="array" ref="M1303">QUARTILE(IF($F$3:$F$1460=$F1303,$H$3:$H$1460),3)</f>
        <v>12062.504999999999</v>
      </c>
    </row>
    <row r="1304" spans="1:13" x14ac:dyDescent="0.25">
      <c r="A1304" s="7">
        <v>1297</v>
      </c>
      <c r="B1304" s="6" t="s">
        <v>1329</v>
      </c>
      <c r="C1304" s="7">
        <v>5877256</v>
      </c>
      <c r="D1304" s="23" t="s">
        <v>1330</v>
      </c>
      <c r="E1304" s="6" t="s">
        <v>1331</v>
      </c>
      <c r="F1304" s="21" t="s">
        <v>79</v>
      </c>
      <c r="G1304" s="6" t="s">
        <v>1332</v>
      </c>
      <c r="H1304" s="22">
        <v>14767.66</v>
      </c>
      <c r="I1304" s="9">
        <v>2</v>
      </c>
      <c r="J1304" s="22">
        <f t="shared" si="14"/>
        <v>29535.32</v>
      </c>
      <c r="K1304" s="9">
        <f t="array" ref="K1304">QUARTILE(IF($F$3:$F$1460=$F1304,$H$3:$H$1460),1)</f>
        <v>17598.830000000002</v>
      </c>
      <c r="L1304" s="9">
        <f t="array" ref="L1304">QUARTILE(IF($F$3:$F$1460=$F1304,$H$3:$H$1460),2)</f>
        <v>60471.06</v>
      </c>
      <c r="M1304" s="9">
        <f t="array" ref="M1304">QUARTILE(IF($F$3:$F$1460=$F1304,$H$3:$H$1460),3)</f>
        <v>139860.215</v>
      </c>
    </row>
    <row r="1305" spans="1:13" x14ac:dyDescent="0.25">
      <c r="A1305" s="7">
        <v>1298</v>
      </c>
      <c r="B1305" s="6" t="s">
        <v>1329</v>
      </c>
      <c r="C1305" s="7">
        <v>5877256</v>
      </c>
      <c r="D1305" s="23" t="s">
        <v>1330</v>
      </c>
      <c r="E1305" s="6" t="s">
        <v>1331</v>
      </c>
      <c r="F1305" s="21" t="s">
        <v>79</v>
      </c>
      <c r="G1305" s="6" t="s">
        <v>1333</v>
      </c>
      <c r="H1305" s="22">
        <v>26919.86</v>
      </c>
      <c r="I1305" s="9">
        <v>2</v>
      </c>
      <c r="J1305" s="22">
        <f t="shared" si="14"/>
        <v>53839.72</v>
      </c>
      <c r="K1305" s="9">
        <f t="array" ref="K1305">QUARTILE(IF($F$3:$F$1460=$F1305,$H$3:$H$1460),1)</f>
        <v>17598.830000000002</v>
      </c>
      <c r="L1305" s="9">
        <f t="array" ref="L1305">QUARTILE(IF($F$3:$F$1460=$F1305,$H$3:$H$1460),2)</f>
        <v>60471.06</v>
      </c>
      <c r="M1305" s="9">
        <f t="array" ref="M1305">QUARTILE(IF($F$3:$F$1460=$F1305,$H$3:$H$1460),3)</f>
        <v>139860.215</v>
      </c>
    </row>
    <row r="1306" spans="1:13" x14ac:dyDescent="0.25">
      <c r="A1306" s="7">
        <v>1299</v>
      </c>
      <c r="B1306" s="6" t="s">
        <v>1334</v>
      </c>
      <c r="C1306" s="7">
        <v>5315732</v>
      </c>
      <c r="D1306" s="23" t="s">
        <v>1335</v>
      </c>
      <c r="E1306" s="6" t="s">
        <v>1336</v>
      </c>
      <c r="F1306" s="21" t="s">
        <v>60</v>
      </c>
      <c r="G1306" s="45" t="s">
        <v>1337</v>
      </c>
      <c r="H1306" s="22">
        <v>980</v>
      </c>
      <c r="I1306" s="9">
        <v>1150</v>
      </c>
      <c r="J1306" s="22">
        <f t="shared" si="14"/>
        <v>1127000</v>
      </c>
      <c r="K1306" s="9">
        <f t="array" ref="K1306">QUARTILE(IF($F$3:$F$1460=$F1306,$H$3:$H$1460),1)</f>
        <v>680</v>
      </c>
      <c r="L1306" s="9">
        <f t="array" ref="L1306">QUARTILE(IF($F$3:$F$1460=$F1306,$H$3:$H$1460),2)</f>
        <v>991</v>
      </c>
      <c r="M1306" s="9">
        <f t="array" ref="M1306">QUARTILE(IF($F$3:$F$1460=$F1306,$H$3:$H$1460),3)</f>
        <v>1485.8333333333335</v>
      </c>
    </row>
    <row r="1307" spans="1:13" x14ac:dyDescent="0.25">
      <c r="A1307" s="7">
        <v>1300</v>
      </c>
      <c r="B1307" s="6" t="s">
        <v>1334</v>
      </c>
      <c r="C1307" s="7">
        <v>5315732</v>
      </c>
      <c r="D1307" s="23" t="s">
        <v>1335</v>
      </c>
      <c r="E1307" s="6" t="s">
        <v>1336</v>
      </c>
      <c r="F1307" s="21" t="s">
        <v>62</v>
      </c>
      <c r="G1307" s="6" t="s">
        <v>1338</v>
      </c>
      <c r="H1307" s="22">
        <v>1299</v>
      </c>
      <c r="I1307" s="9">
        <v>60</v>
      </c>
      <c r="J1307" s="22">
        <f t="shared" si="14"/>
        <v>77940</v>
      </c>
      <c r="K1307" s="9">
        <f t="array" ref="K1307">QUARTILE(IF($F$3:$F$1460=$F1307,$H$3:$H$1460),1)</f>
        <v>783.15</v>
      </c>
      <c r="L1307" s="9">
        <f t="array" ref="L1307">QUARTILE(IF($F$3:$F$1460=$F1307,$H$3:$H$1460),2)</f>
        <v>1196.3</v>
      </c>
      <c r="M1307" s="9">
        <f t="array" ref="M1307">QUARTILE(IF($F$3:$F$1460=$F1307,$H$3:$H$1460),3)</f>
        <v>1455.5</v>
      </c>
    </row>
    <row r="1308" spans="1:13" x14ac:dyDescent="0.25">
      <c r="A1308" s="7">
        <v>1301</v>
      </c>
      <c r="B1308" s="6" t="s">
        <v>1334</v>
      </c>
      <c r="C1308" s="7">
        <v>5315732</v>
      </c>
      <c r="D1308" s="23" t="s">
        <v>1335</v>
      </c>
      <c r="E1308" s="6" t="s">
        <v>1336</v>
      </c>
      <c r="F1308" s="21" t="s">
        <v>62</v>
      </c>
      <c r="G1308" s="6" t="s">
        <v>1339</v>
      </c>
      <c r="H1308" s="22">
        <v>1319</v>
      </c>
      <c r="I1308" s="9">
        <v>130</v>
      </c>
      <c r="J1308" s="22">
        <f t="shared" si="14"/>
        <v>171470</v>
      </c>
      <c r="K1308" s="9">
        <f t="array" ref="K1308">QUARTILE(IF($F$3:$F$1460=$F1308,$H$3:$H$1460),1)</f>
        <v>783.15</v>
      </c>
      <c r="L1308" s="9">
        <f t="array" ref="L1308">QUARTILE(IF($F$3:$F$1460=$F1308,$H$3:$H$1460),2)</f>
        <v>1196.3</v>
      </c>
      <c r="M1308" s="9">
        <f t="array" ref="M1308">QUARTILE(IF($F$3:$F$1460=$F1308,$H$3:$H$1460),3)</f>
        <v>1455.5</v>
      </c>
    </row>
    <row r="1309" spans="1:13" x14ac:dyDescent="0.25">
      <c r="A1309" s="7">
        <v>1271</v>
      </c>
      <c r="B1309" s="6" t="s">
        <v>1334</v>
      </c>
      <c r="C1309" s="7">
        <v>5315732</v>
      </c>
      <c r="D1309" s="23" t="s">
        <v>1335</v>
      </c>
      <c r="E1309" s="6" t="s">
        <v>1336</v>
      </c>
      <c r="F1309" s="21" t="s">
        <v>62</v>
      </c>
      <c r="G1309" s="6" t="s">
        <v>1340</v>
      </c>
      <c r="H1309" s="22">
        <v>1505</v>
      </c>
      <c r="I1309" s="9">
        <v>12</v>
      </c>
      <c r="J1309" s="22">
        <f t="shared" si="14"/>
        <v>18060</v>
      </c>
      <c r="K1309" s="9">
        <f t="array" ref="K1309">QUARTILE(IF($F$3:$F$1460=$F1309,$H$3:$H$1460),1)</f>
        <v>783.15</v>
      </c>
      <c r="L1309" s="9">
        <f t="array" ref="L1309">QUARTILE(IF($F$3:$F$1460=$F1309,$H$3:$H$1460),2)</f>
        <v>1196.3</v>
      </c>
      <c r="M1309" s="9">
        <f t="array" ref="M1309">QUARTILE(IF($F$3:$F$1460=$F1309,$H$3:$H$1460),3)</f>
        <v>1455.5</v>
      </c>
    </row>
    <row r="1310" spans="1:13" x14ac:dyDescent="0.25">
      <c r="A1310" s="7">
        <v>1272</v>
      </c>
      <c r="B1310" s="6" t="s">
        <v>1334</v>
      </c>
      <c r="C1310" s="7">
        <v>5315732</v>
      </c>
      <c r="D1310" s="23" t="s">
        <v>1335</v>
      </c>
      <c r="E1310" s="6" t="s">
        <v>1336</v>
      </c>
      <c r="F1310" s="21" t="s">
        <v>44</v>
      </c>
      <c r="G1310" s="45" t="s">
        <v>1341</v>
      </c>
      <c r="H1310" s="22">
        <v>131</v>
      </c>
      <c r="I1310" s="9">
        <v>387</v>
      </c>
      <c r="J1310" s="22">
        <f t="shared" si="14"/>
        <v>50697</v>
      </c>
      <c r="K1310" s="9">
        <f t="array" ref="K1310">QUARTILE(IF($F$3:$F$1460=$F1310,$H$3:$H$1460),1)</f>
        <v>141.67500000000001</v>
      </c>
      <c r="L1310" s="9">
        <f t="array" ref="L1310">QUARTILE(IF($F$3:$F$1460=$F1310,$H$3:$H$1460),2)</f>
        <v>194</v>
      </c>
      <c r="M1310" s="9">
        <f t="array" ref="M1310">QUARTILE(IF($F$3:$F$1460=$F1310,$H$3:$H$1460),3)</f>
        <v>266.75</v>
      </c>
    </row>
    <row r="1311" spans="1:13" x14ac:dyDescent="0.25">
      <c r="A1311" s="7">
        <v>1273</v>
      </c>
      <c r="B1311" s="6" t="s">
        <v>1334</v>
      </c>
      <c r="C1311" s="7">
        <v>5315732</v>
      </c>
      <c r="D1311" s="23" t="s">
        <v>1335</v>
      </c>
      <c r="E1311" s="6" t="s">
        <v>1336</v>
      </c>
      <c r="F1311" s="21" t="s">
        <v>44</v>
      </c>
      <c r="G1311" s="45" t="s">
        <v>1342</v>
      </c>
      <c r="H1311" s="22">
        <v>210</v>
      </c>
      <c r="I1311" s="9">
        <v>463</v>
      </c>
      <c r="J1311" s="22">
        <f t="shared" si="14"/>
        <v>97230</v>
      </c>
      <c r="K1311" s="9">
        <f t="array" ref="K1311">QUARTILE(IF($F$3:$F$1460=$F1311,$H$3:$H$1460),1)</f>
        <v>141.67500000000001</v>
      </c>
      <c r="L1311" s="9">
        <f t="array" ref="L1311">QUARTILE(IF($F$3:$F$1460=$F1311,$H$3:$H$1460),2)</f>
        <v>194</v>
      </c>
      <c r="M1311" s="9">
        <f t="array" ref="M1311">QUARTILE(IF($F$3:$F$1460=$F1311,$H$3:$H$1460),3)</f>
        <v>266.75</v>
      </c>
    </row>
    <row r="1312" spans="1:13" x14ac:dyDescent="0.25">
      <c r="A1312" s="7">
        <v>1274</v>
      </c>
      <c r="B1312" s="6" t="s">
        <v>1334</v>
      </c>
      <c r="C1312" s="7">
        <v>5315732</v>
      </c>
      <c r="D1312" s="23" t="s">
        <v>1335</v>
      </c>
      <c r="E1312" s="6" t="s">
        <v>1336</v>
      </c>
      <c r="F1312" s="21" t="s">
        <v>44</v>
      </c>
      <c r="G1312" s="45" t="s">
        <v>1343</v>
      </c>
      <c r="H1312" s="22">
        <v>256</v>
      </c>
      <c r="I1312" s="9">
        <v>300</v>
      </c>
      <c r="J1312" s="22">
        <f t="shared" si="14"/>
        <v>76800</v>
      </c>
      <c r="K1312" s="9">
        <f t="array" ref="K1312">QUARTILE(IF($F$3:$F$1460=$F1312,$H$3:$H$1460),1)</f>
        <v>141.67500000000001</v>
      </c>
      <c r="L1312" s="9">
        <f t="array" ref="L1312">QUARTILE(IF($F$3:$F$1460=$F1312,$H$3:$H$1460),2)</f>
        <v>194</v>
      </c>
      <c r="M1312" s="9">
        <f t="array" ref="M1312">QUARTILE(IF($F$3:$F$1460=$F1312,$H$3:$H$1460),3)</f>
        <v>266.75</v>
      </c>
    </row>
    <row r="1313" spans="1:13" x14ac:dyDescent="0.25">
      <c r="A1313" s="7">
        <v>1275</v>
      </c>
      <c r="B1313" s="6" t="s">
        <v>1334</v>
      </c>
      <c r="C1313" s="7">
        <v>5315732</v>
      </c>
      <c r="D1313" s="23" t="s">
        <v>1335</v>
      </c>
      <c r="E1313" s="6" t="s">
        <v>1336</v>
      </c>
      <c r="F1313" s="21" t="s">
        <v>46</v>
      </c>
      <c r="G1313" s="6" t="s">
        <v>1344</v>
      </c>
      <c r="H1313" s="22">
        <v>279</v>
      </c>
      <c r="I1313" s="9">
        <v>35</v>
      </c>
      <c r="J1313" s="22">
        <f t="shared" si="14"/>
        <v>9765</v>
      </c>
      <c r="K1313" s="9">
        <f t="array" ref="K1313">QUARTILE(IF($F$3:$F$1460=$F1313,$H$3:$H$1460),1)</f>
        <v>229.78</v>
      </c>
      <c r="L1313" s="9">
        <f t="array" ref="L1313">QUARTILE(IF($F$3:$F$1460=$F1313,$H$3:$H$1460),2)</f>
        <v>424.2</v>
      </c>
      <c r="M1313" s="9">
        <f t="array" ref="M1313">QUARTILE(IF($F$3:$F$1460=$F1313,$H$3:$H$1460),3)</f>
        <v>1030.3</v>
      </c>
    </row>
    <row r="1314" spans="1:13" x14ac:dyDescent="0.25">
      <c r="A1314" s="7">
        <v>1276</v>
      </c>
      <c r="B1314" s="6" t="s">
        <v>1334</v>
      </c>
      <c r="C1314" s="7">
        <v>5315732</v>
      </c>
      <c r="D1314" s="23" t="s">
        <v>1335</v>
      </c>
      <c r="E1314" s="6" t="s">
        <v>1336</v>
      </c>
      <c r="F1314" s="21" t="s">
        <v>46</v>
      </c>
      <c r="G1314" s="6" t="s">
        <v>1345</v>
      </c>
      <c r="H1314" s="22">
        <v>479</v>
      </c>
      <c r="I1314" s="9">
        <v>133</v>
      </c>
      <c r="J1314" s="22">
        <f t="shared" si="14"/>
        <v>63707</v>
      </c>
      <c r="K1314" s="9">
        <f t="array" ref="K1314">QUARTILE(IF($F$3:$F$1460=$F1314,$H$3:$H$1460),1)</f>
        <v>229.78</v>
      </c>
      <c r="L1314" s="9">
        <f t="array" ref="L1314">QUARTILE(IF($F$3:$F$1460=$F1314,$H$3:$H$1460),2)</f>
        <v>424.2</v>
      </c>
      <c r="M1314" s="9">
        <f t="array" ref="M1314">QUARTILE(IF($F$3:$F$1460=$F1314,$H$3:$H$1460),3)</f>
        <v>1030.3</v>
      </c>
    </row>
    <row r="1315" spans="1:13" x14ac:dyDescent="0.25">
      <c r="A1315" s="7">
        <v>1277</v>
      </c>
      <c r="B1315" s="6" t="s">
        <v>1334</v>
      </c>
      <c r="C1315" s="7">
        <v>5315732</v>
      </c>
      <c r="D1315" s="23" t="s">
        <v>1335</v>
      </c>
      <c r="E1315" s="6" t="s">
        <v>1336</v>
      </c>
      <c r="F1315" s="21" t="s">
        <v>54</v>
      </c>
      <c r="G1315" s="45" t="s">
        <v>1346</v>
      </c>
      <c r="H1315" s="22">
        <v>542</v>
      </c>
      <c r="I1315" s="9">
        <v>38</v>
      </c>
      <c r="J1315" s="22">
        <f t="shared" si="14"/>
        <v>20596</v>
      </c>
      <c r="K1315" s="9">
        <f t="array" ref="K1315">QUARTILE(IF($F$3:$F$1460=$F1315,$H$3:$H$1460),1)</f>
        <v>393.94499999999999</v>
      </c>
      <c r="L1315" s="9">
        <f t="array" ref="L1315">QUARTILE(IF($F$3:$F$1460=$F1315,$H$3:$H$1460),2)</f>
        <v>710.01499999999999</v>
      </c>
      <c r="M1315" s="9">
        <f t="array" ref="M1315">QUARTILE(IF($F$3:$F$1460=$F1315,$H$3:$H$1460),3)</f>
        <v>2552.0574999999999</v>
      </c>
    </row>
    <row r="1316" spans="1:13" x14ac:dyDescent="0.25">
      <c r="A1316" s="7">
        <v>1278</v>
      </c>
      <c r="B1316" s="6" t="s">
        <v>1334</v>
      </c>
      <c r="C1316" s="7">
        <v>5315732</v>
      </c>
      <c r="D1316" s="23" t="s">
        <v>1335</v>
      </c>
      <c r="E1316" s="6" t="s">
        <v>1336</v>
      </c>
      <c r="F1316" s="21" t="s">
        <v>54</v>
      </c>
      <c r="G1316" s="45" t="s">
        <v>1347</v>
      </c>
      <c r="H1316" s="22">
        <v>4579</v>
      </c>
      <c r="I1316" s="9">
        <v>30</v>
      </c>
      <c r="J1316" s="22">
        <f t="shared" si="14"/>
        <v>137370</v>
      </c>
      <c r="K1316" s="9">
        <f t="array" ref="K1316">QUARTILE(IF($F$3:$F$1460=$F1316,$H$3:$H$1460),1)</f>
        <v>393.94499999999999</v>
      </c>
      <c r="L1316" s="9">
        <f t="array" ref="L1316">QUARTILE(IF($F$3:$F$1460=$F1316,$H$3:$H$1460),2)</f>
        <v>710.01499999999999</v>
      </c>
      <c r="M1316" s="9">
        <f t="array" ref="M1316">QUARTILE(IF($F$3:$F$1460=$F1316,$H$3:$H$1460),3)</f>
        <v>2552.0574999999999</v>
      </c>
    </row>
    <row r="1317" spans="1:13" x14ac:dyDescent="0.25">
      <c r="A1317" s="7">
        <v>1279</v>
      </c>
      <c r="B1317" s="6" t="s">
        <v>1334</v>
      </c>
      <c r="C1317" s="7">
        <v>5315732</v>
      </c>
      <c r="D1317" s="23" t="s">
        <v>1335</v>
      </c>
      <c r="E1317" s="6" t="s">
        <v>1336</v>
      </c>
      <c r="F1317" s="21" t="s">
        <v>54</v>
      </c>
      <c r="G1317" s="6" t="s">
        <v>1348</v>
      </c>
      <c r="H1317" s="22">
        <v>9280</v>
      </c>
      <c r="I1317" s="9">
        <v>8</v>
      </c>
      <c r="J1317" s="22">
        <f t="shared" si="14"/>
        <v>74240</v>
      </c>
      <c r="K1317" s="9">
        <f t="array" ref="K1317">QUARTILE(IF($F$3:$F$1460=$F1317,$H$3:$H$1460),1)</f>
        <v>393.94499999999999</v>
      </c>
      <c r="L1317" s="9">
        <f t="array" ref="L1317">QUARTILE(IF($F$3:$F$1460=$F1317,$H$3:$H$1460),2)</f>
        <v>710.01499999999999</v>
      </c>
      <c r="M1317" s="9">
        <f t="array" ref="M1317">QUARTILE(IF($F$3:$F$1460=$F1317,$H$3:$H$1460),3)</f>
        <v>2552.0574999999999</v>
      </c>
    </row>
    <row r="1318" spans="1:13" x14ac:dyDescent="0.25">
      <c r="A1318" s="7">
        <v>1280</v>
      </c>
      <c r="B1318" s="6" t="s">
        <v>1349</v>
      </c>
      <c r="C1318" s="7">
        <v>5856338</v>
      </c>
      <c r="D1318" s="23" t="s">
        <v>1350</v>
      </c>
      <c r="E1318" s="6" t="s">
        <v>1351</v>
      </c>
      <c r="F1318" s="21" t="s">
        <v>60</v>
      </c>
      <c r="G1318" s="45" t="s">
        <v>1352</v>
      </c>
      <c r="H1318" s="22">
        <v>496</v>
      </c>
      <c r="I1318" s="9">
        <v>78</v>
      </c>
      <c r="J1318" s="22">
        <f t="shared" si="14"/>
        <v>38688</v>
      </c>
      <c r="K1318" s="9">
        <f t="array" ref="K1318">QUARTILE(IF($F$3:$F$1460=$F1318,$H$3:$H$1460),1)</f>
        <v>680</v>
      </c>
      <c r="L1318" s="9">
        <f t="array" ref="L1318">QUARTILE(IF($F$3:$F$1460=$F1318,$H$3:$H$1460),2)</f>
        <v>991</v>
      </c>
      <c r="M1318" s="9">
        <f t="array" ref="M1318">QUARTILE(IF($F$3:$F$1460=$F1318,$H$3:$H$1460),3)</f>
        <v>1485.8333333333335</v>
      </c>
    </row>
    <row r="1319" spans="1:13" x14ac:dyDescent="0.25">
      <c r="A1319" s="7">
        <v>1281</v>
      </c>
      <c r="B1319" s="6" t="s">
        <v>1349</v>
      </c>
      <c r="C1319" s="7">
        <v>5856338</v>
      </c>
      <c r="D1319" s="23" t="s">
        <v>1350</v>
      </c>
      <c r="E1319" s="6" t="s">
        <v>1351</v>
      </c>
      <c r="F1319" s="21" t="s">
        <v>62</v>
      </c>
      <c r="G1319" s="6" t="s">
        <v>1353</v>
      </c>
      <c r="H1319" s="22">
        <v>857</v>
      </c>
      <c r="I1319" s="9">
        <v>5</v>
      </c>
      <c r="J1319" s="22">
        <f t="shared" si="14"/>
        <v>4285</v>
      </c>
      <c r="K1319" s="9">
        <f t="array" ref="K1319">QUARTILE(IF($F$3:$F$1460=$F1319,$H$3:$H$1460),1)</f>
        <v>783.15</v>
      </c>
      <c r="L1319" s="9">
        <f t="array" ref="L1319">QUARTILE(IF($F$3:$F$1460=$F1319,$H$3:$H$1460),2)</f>
        <v>1196.3</v>
      </c>
      <c r="M1319" s="9">
        <f t="array" ref="M1319">QUARTILE(IF($F$3:$F$1460=$F1319,$H$3:$H$1460),3)</f>
        <v>1455.5</v>
      </c>
    </row>
    <row r="1320" spans="1:13" x14ac:dyDescent="0.25">
      <c r="A1320" s="7">
        <v>1282</v>
      </c>
      <c r="B1320" s="6" t="s">
        <v>1349</v>
      </c>
      <c r="C1320" s="7">
        <v>5856338</v>
      </c>
      <c r="D1320" s="23" t="s">
        <v>1350</v>
      </c>
      <c r="E1320" s="6" t="s">
        <v>1351</v>
      </c>
      <c r="F1320" s="21" t="s">
        <v>62</v>
      </c>
      <c r="G1320" s="6" t="s">
        <v>1354</v>
      </c>
      <c r="H1320" s="22">
        <v>1077</v>
      </c>
      <c r="I1320" s="9">
        <v>6</v>
      </c>
      <c r="J1320" s="22">
        <f t="shared" si="14"/>
        <v>6462</v>
      </c>
      <c r="K1320" s="9">
        <f t="array" ref="K1320">QUARTILE(IF($F$3:$F$1460=$F1320,$H$3:$H$1460),1)</f>
        <v>783.15</v>
      </c>
      <c r="L1320" s="9">
        <f t="array" ref="L1320">QUARTILE(IF($F$3:$F$1460=$F1320,$H$3:$H$1460),2)</f>
        <v>1196.3</v>
      </c>
      <c r="M1320" s="9">
        <f t="array" ref="M1320">QUARTILE(IF($F$3:$F$1460=$F1320,$H$3:$H$1460),3)</f>
        <v>1455.5</v>
      </c>
    </row>
    <row r="1321" spans="1:13" x14ac:dyDescent="0.25">
      <c r="A1321" s="7">
        <v>1283</v>
      </c>
      <c r="B1321" s="6" t="s">
        <v>1349</v>
      </c>
      <c r="C1321" s="7">
        <v>5856338</v>
      </c>
      <c r="D1321" s="23" t="s">
        <v>1350</v>
      </c>
      <c r="E1321" s="6" t="s">
        <v>1351</v>
      </c>
      <c r="F1321" s="21" t="s">
        <v>44</v>
      </c>
      <c r="G1321" s="45" t="s">
        <v>1355</v>
      </c>
      <c r="H1321" s="22">
        <v>153</v>
      </c>
      <c r="I1321" s="9">
        <v>156</v>
      </c>
      <c r="J1321" s="22">
        <f t="shared" si="14"/>
        <v>23868</v>
      </c>
      <c r="K1321" s="9">
        <f t="array" ref="K1321">QUARTILE(IF($F$3:$F$1460=$F1321,$H$3:$H$1460),1)</f>
        <v>141.67500000000001</v>
      </c>
      <c r="L1321" s="9">
        <f t="array" ref="L1321">QUARTILE(IF($F$3:$F$1460=$F1321,$H$3:$H$1460),2)</f>
        <v>194</v>
      </c>
      <c r="M1321" s="9">
        <f t="array" ref="M1321">QUARTILE(IF($F$3:$F$1460=$F1321,$H$3:$H$1460),3)</f>
        <v>266.75</v>
      </c>
    </row>
    <row r="1322" spans="1:13" x14ac:dyDescent="0.25">
      <c r="A1322" s="7">
        <v>1284</v>
      </c>
      <c r="B1322" s="6" t="s">
        <v>1349</v>
      </c>
      <c r="C1322" s="7">
        <v>5856338</v>
      </c>
      <c r="D1322" s="23" t="s">
        <v>1350</v>
      </c>
      <c r="E1322" s="6" t="s">
        <v>1351</v>
      </c>
      <c r="F1322" s="21" t="s">
        <v>54</v>
      </c>
      <c r="G1322" s="45" t="s">
        <v>1356</v>
      </c>
      <c r="H1322" s="22">
        <v>1847</v>
      </c>
      <c r="I1322" s="9">
        <v>11</v>
      </c>
      <c r="J1322" s="22">
        <f t="shared" ref="J1322:J1326" si="15">I1322*H1322</f>
        <v>20317</v>
      </c>
      <c r="K1322" s="9">
        <f t="array" ref="K1322">QUARTILE(IF($F$3:$F$1460=$F1322,$H$3:$H$1460),1)</f>
        <v>393.94499999999999</v>
      </c>
      <c r="L1322" s="9">
        <f t="array" ref="L1322">QUARTILE(IF($F$3:$F$1460=$F1322,$H$3:$H$1460),2)</f>
        <v>710.01499999999999</v>
      </c>
      <c r="M1322" s="9">
        <f t="array" ref="M1322">QUARTILE(IF($F$3:$F$1460=$F1322,$H$3:$H$1460),3)</f>
        <v>2552.0574999999999</v>
      </c>
    </row>
    <row r="1323" spans="1:13" x14ac:dyDescent="0.25">
      <c r="A1323" s="7">
        <v>1285</v>
      </c>
      <c r="B1323" s="6" t="s">
        <v>1349</v>
      </c>
      <c r="C1323" s="7">
        <v>5856338</v>
      </c>
      <c r="D1323" s="23" t="s">
        <v>1350</v>
      </c>
      <c r="E1323" s="6" t="s">
        <v>1351</v>
      </c>
      <c r="F1323" s="21" t="s">
        <v>46</v>
      </c>
      <c r="G1323" s="45" t="s">
        <v>1357</v>
      </c>
      <c r="H1323" s="22">
        <v>615</v>
      </c>
      <c r="I1323" s="9">
        <v>1</v>
      </c>
      <c r="J1323" s="22">
        <f t="shared" si="15"/>
        <v>615</v>
      </c>
      <c r="K1323" s="9">
        <f t="array" ref="K1323">QUARTILE(IF($F$3:$F$1460=$F1323,$H$3:$H$1460),1)</f>
        <v>229.78</v>
      </c>
      <c r="L1323" s="9">
        <f t="array" ref="L1323">QUARTILE(IF($F$3:$F$1460=$F1323,$H$3:$H$1460),2)</f>
        <v>424.2</v>
      </c>
      <c r="M1323" s="9">
        <f t="array" ref="M1323">QUARTILE(IF($F$3:$F$1460=$F1323,$H$3:$H$1460),3)</f>
        <v>1030.3</v>
      </c>
    </row>
    <row r="1324" spans="1:13" x14ac:dyDescent="0.25">
      <c r="A1324" s="7">
        <v>1286</v>
      </c>
      <c r="B1324" s="6" t="s">
        <v>1349</v>
      </c>
      <c r="C1324" s="7">
        <v>5856338</v>
      </c>
      <c r="D1324" s="23" t="s">
        <v>1350</v>
      </c>
      <c r="E1324" s="6" t="s">
        <v>1351</v>
      </c>
      <c r="F1324" s="21" t="s">
        <v>16</v>
      </c>
      <c r="G1324" s="6" t="s">
        <v>1358</v>
      </c>
      <c r="H1324" s="22">
        <v>29</v>
      </c>
      <c r="I1324" s="9">
        <v>20</v>
      </c>
      <c r="J1324" s="22">
        <f t="shared" si="15"/>
        <v>580</v>
      </c>
      <c r="K1324" s="9">
        <f t="array" ref="K1324">QUARTILE(IF($F$3:$F$1460=$F1324,$H$3:$H$1460),1)</f>
        <v>14.8</v>
      </c>
      <c r="L1324" s="9">
        <f t="array" ref="L1324">QUARTILE(IF($F$3:$F$1460=$F1324,$H$3:$H$1460),2)</f>
        <v>19.5</v>
      </c>
      <c r="M1324" s="9">
        <f t="array" ref="M1324">QUARTILE(IF($F$3:$F$1460=$F1324,$H$3:$H$1460),3)</f>
        <v>31.25</v>
      </c>
    </row>
    <row r="1325" spans="1:13" x14ac:dyDescent="0.25">
      <c r="A1325" s="7">
        <v>1287</v>
      </c>
      <c r="B1325" s="6" t="s">
        <v>1349</v>
      </c>
      <c r="C1325" s="7">
        <v>5856338</v>
      </c>
      <c r="D1325" s="23" t="s">
        <v>1350</v>
      </c>
      <c r="E1325" s="6" t="s">
        <v>1351</v>
      </c>
      <c r="F1325" s="21" t="s">
        <v>31</v>
      </c>
      <c r="G1325" s="6" t="s">
        <v>1359</v>
      </c>
      <c r="H1325" s="22">
        <v>52</v>
      </c>
      <c r="I1325" s="9">
        <v>6</v>
      </c>
      <c r="J1325" s="22">
        <f t="shared" si="15"/>
        <v>312</v>
      </c>
      <c r="K1325" s="9">
        <f t="array" ref="K1325">QUARTILE(IF($F$3:$F$1460=$F1325,$H$3:$H$1460),1)</f>
        <v>55.5</v>
      </c>
      <c r="L1325" s="9">
        <f t="array" ref="L1325">QUARTILE(IF($F$3:$F$1460=$F1325,$H$3:$H$1460),2)</f>
        <v>91.88</v>
      </c>
      <c r="M1325" s="9">
        <f t="array" ref="M1325">QUARTILE(IF($F$3:$F$1460=$F1325,$H$3:$H$1460),3)</f>
        <v>148.36000000000001</v>
      </c>
    </row>
    <row r="1326" spans="1:13" x14ac:dyDescent="0.25">
      <c r="A1326" s="7">
        <v>1288</v>
      </c>
      <c r="B1326" s="6" t="s">
        <v>1349</v>
      </c>
      <c r="C1326" s="7">
        <v>5856338</v>
      </c>
      <c r="D1326" s="23" t="s">
        <v>1350</v>
      </c>
      <c r="E1326" s="6" t="s">
        <v>1351</v>
      </c>
      <c r="F1326" s="21" t="s">
        <v>8</v>
      </c>
      <c r="G1326" s="6" t="s">
        <v>1360</v>
      </c>
      <c r="H1326" s="22">
        <v>14</v>
      </c>
      <c r="I1326" s="9">
        <v>11</v>
      </c>
      <c r="J1326" s="22">
        <f t="shared" si="15"/>
        <v>154</v>
      </c>
      <c r="K1326" s="9">
        <f t="array" ref="K1326">QUARTILE(IF($F$3:$F$1460=$F1326,$H$3:$H$1460),1)</f>
        <v>4.9000000000000004</v>
      </c>
      <c r="L1326" s="9">
        <f t="array" ref="L1326">QUARTILE(IF($F$3:$F$1460=$F1326,$H$3:$H$1460),2)</f>
        <v>8.4</v>
      </c>
      <c r="M1326" s="9">
        <f t="array" ref="M1326">QUARTILE(IF($F$3:$F$1460=$F1326,$H$3:$H$1460),3)</f>
        <v>14</v>
      </c>
    </row>
    <row r="1327" spans="1:13" x14ac:dyDescent="0.25">
      <c r="A1327" s="7">
        <v>1289</v>
      </c>
      <c r="B1327" s="6" t="s">
        <v>1349</v>
      </c>
      <c r="C1327" s="7">
        <v>5856338</v>
      </c>
      <c r="D1327" s="23" t="s">
        <v>1350</v>
      </c>
      <c r="E1327" s="6" t="s">
        <v>1351</v>
      </c>
      <c r="F1327" s="21" t="s">
        <v>26</v>
      </c>
      <c r="G1327" s="6" t="s">
        <v>1361</v>
      </c>
      <c r="H1327" s="22">
        <v>37</v>
      </c>
      <c r="I1327" s="9">
        <v>10</v>
      </c>
      <c r="J1327" s="22">
        <f>I1327*H1327</f>
        <v>370</v>
      </c>
      <c r="K1327" s="9">
        <f t="array" ref="K1327">QUARTILE(IF($F$3:$F$1460=$F1327,$H$3:$H$1460),1)</f>
        <v>34.0625</v>
      </c>
      <c r="L1327" s="9">
        <f t="array" ref="L1327">QUARTILE(IF($F$3:$F$1460=$F1327,$H$3:$H$1460),2)</f>
        <v>68.2</v>
      </c>
      <c r="M1327" s="9">
        <f t="array" ref="M1327">QUARTILE(IF($F$3:$F$1460=$F1327,$H$3:$H$1460),3)</f>
        <v>133.05000000000001</v>
      </c>
    </row>
    <row r="1328" spans="1:13" x14ac:dyDescent="0.25">
      <c r="A1328" s="7">
        <v>1290</v>
      </c>
      <c r="B1328" s="6" t="s">
        <v>1349</v>
      </c>
      <c r="C1328" s="7">
        <v>5856338</v>
      </c>
      <c r="D1328" s="23" t="s">
        <v>1350</v>
      </c>
      <c r="E1328" s="6" t="s">
        <v>1351</v>
      </c>
      <c r="F1328" s="21" t="s">
        <v>23</v>
      </c>
      <c r="G1328" s="6" t="s">
        <v>1362</v>
      </c>
      <c r="H1328" s="22">
        <v>30</v>
      </c>
      <c r="I1328" s="9">
        <v>10</v>
      </c>
      <c r="J1328" s="22">
        <f t="shared" ref="J1328:J1392" si="16">I1328*H1328</f>
        <v>300</v>
      </c>
      <c r="K1328" s="9">
        <f t="array" ref="K1328">QUARTILE(IF($F$3:$F$1460=$F1328,$H$3:$H$1460),1)</f>
        <v>28.484999999999999</v>
      </c>
      <c r="L1328" s="9">
        <f t="array" ref="L1328">QUARTILE(IF($F$3:$F$1460=$F1328,$H$3:$H$1460),2)</f>
        <v>48.75</v>
      </c>
      <c r="M1328" s="9">
        <f t="array" ref="M1328">QUARTILE(IF($F$3:$F$1460=$F1328,$H$3:$H$1460),3)</f>
        <v>71.75</v>
      </c>
    </row>
    <row r="1329" spans="1:13" x14ac:dyDescent="0.25">
      <c r="A1329" s="7">
        <v>1291</v>
      </c>
      <c r="B1329" s="6" t="s">
        <v>1349</v>
      </c>
      <c r="C1329" s="7">
        <v>5856338</v>
      </c>
      <c r="D1329" s="23" t="s">
        <v>1350</v>
      </c>
      <c r="E1329" s="6" t="s">
        <v>1351</v>
      </c>
      <c r="F1329" s="21" t="s">
        <v>17</v>
      </c>
      <c r="G1329" s="6" t="s">
        <v>1363</v>
      </c>
      <c r="H1329" s="22">
        <v>4</v>
      </c>
      <c r="I1329" s="9">
        <v>78</v>
      </c>
      <c r="J1329" s="22">
        <f t="shared" si="16"/>
        <v>312</v>
      </c>
      <c r="K1329" s="9">
        <f t="array" ref="K1329">QUARTILE(IF($F$3:$F$1460=$F1329,$H$3:$H$1460),1)</f>
        <v>17.549999999999997</v>
      </c>
      <c r="L1329" s="9">
        <f t="array" ref="L1329">QUARTILE(IF($F$3:$F$1460=$F1329,$H$3:$H$1460),2)</f>
        <v>275.8</v>
      </c>
      <c r="M1329" s="9">
        <f t="array" ref="M1329">QUARTILE(IF($F$3:$F$1460=$F1329,$H$3:$H$1460),3)</f>
        <v>11191.057499999999</v>
      </c>
    </row>
    <row r="1330" spans="1:13" x14ac:dyDescent="0.25">
      <c r="A1330" s="7">
        <v>1292</v>
      </c>
      <c r="B1330" s="6" t="s">
        <v>917</v>
      </c>
      <c r="C1330" s="7">
        <v>6110251</v>
      </c>
      <c r="D1330" s="23" t="s">
        <v>1364</v>
      </c>
      <c r="E1330" s="6" t="s">
        <v>1365</v>
      </c>
      <c r="F1330" s="21" t="s">
        <v>75</v>
      </c>
      <c r="G1330" s="45" t="s">
        <v>1366</v>
      </c>
      <c r="H1330" s="22">
        <v>17850</v>
      </c>
      <c r="I1330" s="9">
        <v>4</v>
      </c>
      <c r="J1330" s="22">
        <f t="shared" si="16"/>
        <v>71400</v>
      </c>
      <c r="K1330" s="9">
        <f t="array" ref="K1330">QUARTILE(IF($F$3:$F$1460=$F1330,$H$3:$H$1460),1)</f>
        <v>7209.15</v>
      </c>
      <c r="L1330" s="9">
        <f t="array" ref="L1330">QUARTILE(IF($F$3:$F$1460=$F1330,$H$3:$H$1460),2)</f>
        <v>15534.78</v>
      </c>
      <c r="M1330" s="9">
        <f t="array" ref="M1330">QUARTILE(IF($F$3:$F$1460=$F1330,$H$3:$H$1460),3)</f>
        <v>29950.799999999999</v>
      </c>
    </row>
    <row r="1331" spans="1:13" x14ac:dyDescent="0.25">
      <c r="A1331" s="7">
        <v>1293</v>
      </c>
      <c r="B1331" s="6" t="s">
        <v>917</v>
      </c>
      <c r="C1331" s="7">
        <v>6110251</v>
      </c>
      <c r="D1331" s="23" t="s">
        <v>1364</v>
      </c>
      <c r="E1331" s="6" t="s">
        <v>1365</v>
      </c>
      <c r="F1331" s="21" t="s">
        <v>75</v>
      </c>
      <c r="G1331" s="45" t="s">
        <v>1367</v>
      </c>
      <c r="H1331" s="22">
        <v>10227.6</v>
      </c>
      <c r="I1331" s="9">
        <v>2</v>
      </c>
      <c r="J1331" s="22">
        <f t="shared" si="16"/>
        <v>20455.2</v>
      </c>
      <c r="K1331" s="9">
        <f t="array" ref="K1331">QUARTILE(IF($F$3:$F$1460=$F1331,$H$3:$H$1460),1)</f>
        <v>7209.15</v>
      </c>
      <c r="L1331" s="9">
        <f t="array" ref="L1331">QUARTILE(IF($F$3:$F$1460=$F1331,$H$3:$H$1460),2)</f>
        <v>15534.78</v>
      </c>
      <c r="M1331" s="9">
        <f t="array" ref="M1331">QUARTILE(IF($F$3:$F$1460=$F1331,$H$3:$H$1460),3)</f>
        <v>29950.799999999999</v>
      </c>
    </row>
    <row r="1332" spans="1:13" ht="13.5" customHeight="1" x14ac:dyDescent="0.25">
      <c r="A1332" s="7">
        <v>1294</v>
      </c>
      <c r="B1332" s="6" t="s">
        <v>917</v>
      </c>
      <c r="C1332" s="7">
        <v>6110251</v>
      </c>
      <c r="D1332" s="23" t="s">
        <v>1364</v>
      </c>
      <c r="E1332" s="6" t="s">
        <v>1365</v>
      </c>
      <c r="F1332" s="21" t="s">
        <v>75</v>
      </c>
      <c r="G1332" s="45" t="s">
        <v>1368</v>
      </c>
      <c r="H1332" s="22">
        <v>23216</v>
      </c>
      <c r="I1332" s="9">
        <v>2</v>
      </c>
      <c r="J1332" s="22">
        <f t="shared" si="16"/>
        <v>46432</v>
      </c>
      <c r="K1332" s="9">
        <f t="array" ref="K1332">QUARTILE(IF($F$3:$F$1460=$F1332,$H$3:$H$1460),1)</f>
        <v>7209.15</v>
      </c>
      <c r="L1332" s="9">
        <f t="array" ref="L1332">QUARTILE(IF($F$3:$F$1460=$F1332,$H$3:$H$1460),2)</f>
        <v>15534.78</v>
      </c>
      <c r="M1332" s="9">
        <f t="array" ref="M1332">QUARTILE(IF($F$3:$F$1460=$F1332,$H$3:$H$1460),3)</f>
        <v>29950.799999999999</v>
      </c>
    </row>
    <row r="1333" spans="1:13" x14ac:dyDescent="0.25">
      <c r="A1333" s="7">
        <v>1295</v>
      </c>
      <c r="B1333" s="6" t="s">
        <v>917</v>
      </c>
      <c r="C1333" s="7">
        <v>6110251</v>
      </c>
      <c r="D1333" s="23" t="s">
        <v>1364</v>
      </c>
      <c r="E1333" s="6" t="s">
        <v>1365</v>
      </c>
      <c r="F1333" s="21" t="s">
        <v>580</v>
      </c>
      <c r="G1333" s="6" t="s">
        <v>1369</v>
      </c>
      <c r="H1333" s="22">
        <v>9376.7999999999993</v>
      </c>
      <c r="I1333" s="9">
        <v>4</v>
      </c>
      <c r="J1333" s="22">
        <f t="shared" si="16"/>
        <v>37507.199999999997</v>
      </c>
      <c r="K1333" s="9">
        <f t="array" ref="K1333">QUARTILE(IF($F$3:$F$1460=$F1333,$H$3:$H$1460),1)</f>
        <v>1759.125</v>
      </c>
      <c r="L1333" s="9">
        <f t="array" ref="L1333">QUARTILE(IF($F$3:$F$1460=$F1333,$H$3:$H$1460),2)</f>
        <v>3923.7249999999999</v>
      </c>
      <c r="M1333" s="9">
        <f t="array" ref="M1333">QUARTILE(IF($F$3:$F$1460=$F1333,$H$3:$H$1460),3)</f>
        <v>12062.504999999999</v>
      </c>
    </row>
    <row r="1334" spans="1:13" x14ac:dyDescent="0.25">
      <c r="A1334" s="7">
        <v>1296</v>
      </c>
      <c r="B1334" s="6" t="s">
        <v>917</v>
      </c>
      <c r="C1334" s="7">
        <v>6110251</v>
      </c>
      <c r="D1334" s="23" t="s">
        <v>1364</v>
      </c>
      <c r="E1334" s="6" t="s">
        <v>1365</v>
      </c>
      <c r="F1334" s="21" t="s">
        <v>77</v>
      </c>
      <c r="G1334" s="6" t="s">
        <v>1370</v>
      </c>
      <c r="H1334" s="22">
        <v>3698.4</v>
      </c>
      <c r="I1334" s="9">
        <v>4</v>
      </c>
      <c r="J1334" s="22">
        <f t="shared" si="16"/>
        <v>14793.6</v>
      </c>
      <c r="K1334" s="9">
        <f t="array" ref="K1334">QUARTILE(IF($F$3:$F$1460=$F1334,$H$3:$H$1460),1)</f>
        <v>12800</v>
      </c>
      <c r="L1334" s="9">
        <f t="array" ref="L1334">QUARTILE(IF($F$3:$F$1460=$F1334,$H$3:$H$1460),2)</f>
        <v>18793.535</v>
      </c>
      <c r="M1334" s="9">
        <f t="array" ref="M1334">QUARTILE(IF($F$3:$F$1460=$F1334,$H$3:$H$1460),3)</f>
        <v>26260.85</v>
      </c>
    </row>
    <row r="1335" spans="1:13" x14ac:dyDescent="0.25">
      <c r="A1335" s="7">
        <v>1297</v>
      </c>
      <c r="B1335" s="6" t="s">
        <v>917</v>
      </c>
      <c r="C1335" s="7">
        <v>6110251</v>
      </c>
      <c r="D1335" s="23" t="s">
        <v>1364</v>
      </c>
      <c r="E1335" s="6" t="s">
        <v>1365</v>
      </c>
      <c r="F1335" s="21" t="s">
        <v>32</v>
      </c>
      <c r="G1335" s="45" t="s">
        <v>1371</v>
      </c>
      <c r="H1335" s="22">
        <v>15616.8</v>
      </c>
      <c r="I1335" s="9">
        <v>2</v>
      </c>
      <c r="J1335" s="22">
        <f t="shared" si="16"/>
        <v>31233.599999999999</v>
      </c>
      <c r="K1335" s="9">
        <f t="array" ref="K1335">QUARTILE(IF($F$3:$F$1460=$F1335,$H$3:$H$1460),1)</f>
        <v>59.227499999999999</v>
      </c>
      <c r="L1335" s="9">
        <f t="array" ref="L1335">QUARTILE(IF($F$3:$F$1460=$F1335,$H$3:$H$1460),2)</f>
        <v>332.14</v>
      </c>
      <c r="M1335" s="9">
        <f t="array" ref="M1335">QUARTILE(IF($F$3:$F$1460=$F1335,$H$3:$H$1460),3)</f>
        <v>1331.8050000000001</v>
      </c>
    </row>
    <row r="1336" spans="1:13" x14ac:dyDescent="0.25">
      <c r="A1336" s="7">
        <v>1298</v>
      </c>
      <c r="B1336" s="6" t="s">
        <v>1372</v>
      </c>
      <c r="C1336" s="7">
        <v>4965151</v>
      </c>
      <c r="D1336" s="23" t="s">
        <v>1373</v>
      </c>
      <c r="E1336" s="6" t="s">
        <v>1374</v>
      </c>
      <c r="F1336" s="21" t="s">
        <v>60</v>
      </c>
      <c r="G1336" s="45" t="s">
        <v>1375</v>
      </c>
      <c r="H1336" s="22">
        <v>805</v>
      </c>
      <c r="I1336" s="9">
        <v>41</v>
      </c>
      <c r="J1336" s="22">
        <f t="shared" si="16"/>
        <v>33005</v>
      </c>
      <c r="K1336" s="9">
        <f t="array" ref="K1336">QUARTILE(IF($F$3:$F$1460=$F1336,$H$3:$H$1460),1)</f>
        <v>680</v>
      </c>
      <c r="L1336" s="9">
        <f t="array" ref="L1336">QUARTILE(IF($F$3:$F$1460=$F1336,$H$3:$H$1460),2)</f>
        <v>991</v>
      </c>
      <c r="M1336" s="9">
        <f t="array" ref="M1336">QUARTILE(IF($F$3:$F$1460=$F1336,$H$3:$H$1460),3)</f>
        <v>1485.8333333333335</v>
      </c>
    </row>
    <row r="1337" spans="1:13" x14ac:dyDescent="0.25">
      <c r="A1337" s="7">
        <v>1299</v>
      </c>
      <c r="B1337" s="6" t="s">
        <v>1372</v>
      </c>
      <c r="C1337" s="7">
        <v>4965151</v>
      </c>
      <c r="D1337" s="23" t="s">
        <v>1373</v>
      </c>
      <c r="E1337" s="6" t="s">
        <v>1374</v>
      </c>
      <c r="F1337" s="21" t="s">
        <v>60</v>
      </c>
      <c r="G1337" s="45" t="s">
        <v>1376</v>
      </c>
      <c r="H1337" s="22">
        <v>995</v>
      </c>
      <c r="I1337" s="9">
        <v>40</v>
      </c>
      <c r="J1337" s="22">
        <f t="shared" si="16"/>
        <v>39800</v>
      </c>
      <c r="K1337" s="9">
        <f t="array" ref="K1337">QUARTILE(IF($F$3:$F$1460=$F1337,$H$3:$H$1460),1)</f>
        <v>680</v>
      </c>
      <c r="L1337" s="9">
        <f t="array" ref="L1337">QUARTILE(IF($F$3:$F$1460=$F1337,$H$3:$H$1460),2)</f>
        <v>991</v>
      </c>
      <c r="M1337" s="9">
        <f t="array" ref="M1337">QUARTILE(IF($F$3:$F$1460=$F1337,$H$3:$H$1460),3)</f>
        <v>1485.8333333333335</v>
      </c>
    </row>
    <row r="1338" spans="1:13" x14ac:dyDescent="0.25">
      <c r="A1338" s="7">
        <v>1300</v>
      </c>
      <c r="B1338" s="6" t="s">
        <v>1372</v>
      </c>
      <c r="C1338" s="7">
        <v>4965151</v>
      </c>
      <c r="D1338" s="23" t="s">
        <v>1373</v>
      </c>
      <c r="E1338" s="6" t="s">
        <v>1374</v>
      </c>
      <c r="F1338" s="21" t="s">
        <v>62</v>
      </c>
      <c r="G1338" s="6" t="s">
        <v>1377</v>
      </c>
      <c r="H1338" s="22">
        <v>1349</v>
      </c>
      <c r="I1338" s="9">
        <v>3</v>
      </c>
      <c r="J1338" s="22">
        <f t="shared" si="16"/>
        <v>4047</v>
      </c>
      <c r="K1338" s="9">
        <f t="array" ref="K1338">QUARTILE(IF($F$3:$F$1460=$F1338,$H$3:$H$1460),1)</f>
        <v>783.15</v>
      </c>
      <c r="L1338" s="9">
        <f t="array" ref="L1338">QUARTILE(IF($F$3:$F$1460=$F1338,$H$3:$H$1460),2)</f>
        <v>1196.3</v>
      </c>
      <c r="M1338" s="9">
        <f t="array" ref="M1338">QUARTILE(IF($F$3:$F$1460=$F1338,$H$3:$H$1460),3)</f>
        <v>1455.5</v>
      </c>
    </row>
    <row r="1339" spans="1:13" x14ac:dyDescent="0.25">
      <c r="A1339" s="7">
        <v>1301</v>
      </c>
      <c r="B1339" s="6" t="s">
        <v>1372</v>
      </c>
      <c r="C1339" s="7">
        <v>4965151</v>
      </c>
      <c r="D1339" s="23" t="s">
        <v>1373</v>
      </c>
      <c r="E1339" s="6" t="s">
        <v>1374</v>
      </c>
      <c r="F1339" s="21" t="s">
        <v>62</v>
      </c>
      <c r="G1339" s="6" t="s">
        <v>1378</v>
      </c>
      <c r="H1339" s="22">
        <v>1506.5</v>
      </c>
      <c r="I1339" s="9">
        <v>1</v>
      </c>
      <c r="J1339" s="22">
        <f t="shared" si="16"/>
        <v>1506.5</v>
      </c>
      <c r="K1339" s="9">
        <f t="array" ref="K1339">QUARTILE(IF($F$3:$F$1460=$F1339,$H$3:$H$1460),1)</f>
        <v>783.15</v>
      </c>
      <c r="L1339" s="9">
        <f t="array" ref="L1339">QUARTILE(IF($F$3:$F$1460=$F1339,$H$3:$H$1460),2)</f>
        <v>1196.3</v>
      </c>
      <c r="M1339" s="9">
        <f t="array" ref="M1339">QUARTILE(IF($F$3:$F$1460=$F1339,$H$3:$H$1460),3)</f>
        <v>1455.5</v>
      </c>
    </row>
    <row r="1340" spans="1:13" x14ac:dyDescent="0.25">
      <c r="A1340" s="7">
        <v>1302</v>
      </c>
      <c r="B1340" s="6" t="s">
        <v>1372</v>
      </c>
      <c r="C1340" s="7">
        <v>4965151</v>
      </c>
      <c r="D1340" s="23" t="s">
        <v>1373</v>
      </c>
      <c r="E1340" s="6" t="s">
        <v>1374</v>
      </c>
      <c r="F1340" s="21" t="s">
        <v>44</v>
      </c>
      <c r="G1340" s="45" t="s">
        <v>1379</v>
      </c>
      <c r="H1340" s="22">
        <v>179</v>
      </c>
      <c r="I1340" s="9">
        <v>41</v>
      </c>
      <c r="J1340" s="22">
        <f t="shared" si="16"/>
        <v>7339</v>
      </c>
      <c r="K1340" s="9">
        <f t="array" ref="K1340">QUARTILE(IF($F$3:$F$1460=$F1340,$H$3:$H$1460),1)</f>
        <v>141.67500000000001</v>
      </c>
      <c r="L1340" s="9">
        <f t="array" ref="L1340">QUARTILE(IF($F$3:$F$1460=$F1340,$H$3:$H$1460),2)</f>
        <v>194</v>
      </c>
      <c r="M1340" s="9">
        <f t="array" ref="M1340">QUARTILE(IF($F$3:$F$1460=$F1340,$H$3:$H$1460),3)</f>
        <v>266.75</v>
      </c>
    </row>
    <row r="1341" spans="1:13" x14ac:dyDescent="0.25">
      <c r="A1341" s="7">
        <v>1303</v>
      </c>
      <c r="B1341" s="6" t="s">
        <v>1372</v>
      </c>
      <c r="C1341" s="7">
        <v>4965151</v>
      </c>
      <c r="D1341" s="23" t="s">
        <v>1373</v>
      </c>
      <c r="E1341" s="6" t="s">
        <v>1374</v>
      </c>
      <c r="F1341" s="21" t="s">
        <v>44</v>
      </c>
      <c r="G1341" s="45" t="s">
        <v>1380</v>
      </c>
      <c r="H1341" s="22">
        <v>222</v>
      </c>
      <c r="I1341" s="9">
        <v>40</v>
      </c>
      <c r="J1341" s="22">
        <f t="shared" si="16"/>
        <v>8880</v>
      </c>
      <c r="K1341" s="9">
        <f t="array" ref="K1341">QUARTILE(IF($F$3:$F$1460=$F1341,$H$3:$H$1460),1)</f>
        <v>141.67500000000001</v>
      </c>
      <c r="L1341" s="9">
        <f t="array" ref="L1341">QUARTILE(IF($F$3:$F$1460=$F1341,$H$3:$H$1460),2)</f>
        <v>194</v>
      </c>
      <c r="M1341" s="9">
        <f t="array" ref="M1341">QUARTILE(IF($F$3:$F$1460=$F1341,$H$3:$H$1460),3)</f>
        <v>266.75</v>
      </c>
    </row>
    <row r="1342" spans="1:13" x14ac:dyDescent="0.25">
      <c r="A1342" s="7">
        <v>1304</v>
      </c>
      <c r="B1342" s="6" t="s">
        <v>1372</v>
      </c>
      <c r="C1342" s="7">
        <v>4965151</v>
      </c>
      <c r="D1342" s="23" t="s">
        <v>1373</v>
      </c>
      <c r="E1342" s="6" t="s">
        <v>1374</v>
      </c>
      <c r="F1342" s="21" t="s">
        <v>46</v>
      </c>
      <c r="G1342" s="45" t="s">
        <v>1381</v>
      </c>
      <c r="H1342" s="22">
        <v>277</v>
      </c>
      <c r="I1342" s="9">
        <v>18</v>
      </c>
      <c r="J1342" s="22">
        <f t="shared" si="16"/>
        <v>4986</v>
      </c>
      <c r="K1342" s="9">
        <f t="array" ref="K1342">QUARTILE(IF($F$3:$F$1460=$F1342,$H$3:$H$1460),1)</f>
        <v>229.78</v>
      </c>
      <c r="L1342" s="9">
        <f t="array" ref="L1342">QUARTILE(IF($F$3:$F$1460=$F1342,$H$3:$H$1460),2)</f>
        <v>424.2</v>
      </c>
      <c r="M1342" s="9">
        <f t="array" ref="M1342">QUARTILE(IF($F$3:$F$1460=$F1342,$H$3:$H$1460),3)</f>
        <v>1030.3</v>
      </c>
    </row>
    <row r="1343" spans="1:13" x14ac:dyDescent="0.25">
      <c r="A1343" s="7">
        <v>1305</v>
      </c>
      <c r="B1343" s="6" t="s">
        <v>1372</v>
      </c>
      <c r="C1343" s="7">
        <v>4965151</v>
      </c>
      <c r="D1343" s="23" t="s">
        <v>1373</v>
      </c>
      <c r="E1343" s="6" t="s">
        <v>1374</v>
      </c>
      <c r="F1343" s="21" t="s">
        <v>54</v>
      </c>
      <c r="G1343" s="6" t="s">
        <v>1382</v>
      </c>
      <c r="H1343" s="22">
        <v>577</v>
      </c>
      <c r="I1343" s="9">
        <v>14</v>
      </c>
      <c r="J1343" s="22">
        <f t="shared" si="16"/>
        <v>8078</v>
      </c>
      <c r="K1343" s="9">
        <f t="array" ref="K1343">QUARTILE(IF($F$3:$F$1460=$F1343,$H$3:$H$1460),1)</f>
        <v>393.94499999999999</v>
      </c>
      <c r="L1343" s="9">
        <f t="array" ref="L1343">QUARTILE(IF($F$3:$F$1460=$F1343,$H$3:$H$1460),2)</f>
        <v>710.01499999999999</v>
      </c>
      <c r="M1343" s="9">
        <f t="array" ref="M1343">QUARTILE(IF($F$3:$F$1460=$F1343,$H$3:$H$1460),3)</f>
        <v>2552.0574999999999</v>
      </c>
    </row>
    <row r="1344" spans="1:13" ht="13.5" customHeight="1" x14ac:dyDescent="0.25">
      <c r="A1344" s="7">
        <v>1306</v>
      </c>
      <c r="B1344" s="6" t="s">
        <v>1372</v>
      </c>
      <c r="C1344" s="7">
        <v>4965151</v>
      </c>
      <c r="D1344" s="23" t="s">
        <v>1373</v>
      </c>
      <c r="E1344" s="6" t="s">
        <v>1374</v>
      </c>
      <c r="F1344" s="21" t="s">
        <v>54</v>
      </c>
      <c r="G1344" s="45" t="s">
        <v>1383</v>
      </c>
      <c r="H1344" s="22">
        <v>2458</v>
      </c>
      <c r="I1344" s="9">
        <v>2</v>
      </c>
      <c r="J1344" s="22">
        <f t="shared" si="16"/>
        <v>4916</v>
      </c>
      <c r="K1344" s="9">
        <f t="array" ref="K1344">QUARTILE(IF($F$3:$F$1460=$F1344,$H$3:$H$1460),1)</f>
        <v>393.94499999999999</v>
      </c>
      <c r="L1344" s="9">
        <f t="array" ref="L1344">QUARTILE(IF($F$3:$F$1460=$F1344,$H$3:$H$1460),2)</f>
        <v>710.01499999999999</v>
      </c>
      <c r="M1344" s="9">
        <f t="array" ref="M1344">QUARTILE(IF($F$3:$F$1460=$F1344,$H$3:$H$1460),3)</f>
        <v>2552.0574999999999</v>
      </c>
    </row>
    <row r="1345" spans="1:13" x14ac:dyDescent="0.25">
      <c r="A1345" s="7">
        <v>1307</v>
      </c>
      <c r="B1345" s="6" t="s">
        <v>1372</v>
      </c>
      <c r="C1345" s="7">
        <v>4965151</v>
      </c>
      <c r="D1345" s="23" t="s">
        <v>1373</v>
      </c>
      <c r="E1345" s="6" t="s">
        <v>1374</v>
      </c>
      <c r="F1345" s="21" t="s">
        <v>54</v>
      </c>
      <c r="G1345" s="45" t="s">
        <v>1384</v>
      </c>
      <c r="H1345" s="22">
        <v>4540</v>
      </c>
      <c r="I1345" s="9">
        <v>13</v>
      </c>
      <c r="J1345" s="22">
        <f t="shared" si="16"/>
        <v>59020</v>
      </c>
      <c r="K1345" s="9">
        <f t="array" ref="K1345">QUARTILE(IF($F$3:$F$1460=$F1345,$H$3:$H$1460),1)</f>
        <v>393.94499999999999</v>
      </c>
      <c r="L1345" s="9">
        <f t="array" ref="L1345">QUARTILE(IF($F$3:$F$1460=$F1345,$H$3:$H$1460),2)</f>
        <v>710.01499999999999</v>
      </c>
      <c r="M1345" s="9">
        <f t="array" ref="M1345">QUARTILE(IF($F$3:$F$1460=$F1345,$H$3:$H$1460),3)</f>
        <v>2552.0574999999999</v>
      </c>
    </row>
    <row r="1346" spans="1:13" x14ac:dyDescent="0.25">
      <c r="A1346" s="7">
        <v>1308</v>
      </c>
      <c r="B1346" s="6" t="s">
        <v>1372</v>
      </c>
      <c r="C1346" s="7">
        <v>4965151</v>
      </c>
      <c r="D1346" s="23" t="s">
        <v>1373</v>
      </c>
      <c r="E1346" s="6" t="s">
        <v>1374</v>
      </c>
      <c r="F1346" s="21" t="s">
        <v>54</v>
      </c>
      <c r="G1346" s="45" t="s">
        <v>1385</v>
      </c>
      <c r="H1346" s="22">
        <v>10515</v>
      </c>
      <c r="I1346" s="9">
        <v>5</v>
      </c>
      <c r="J1346" s="22">
        <f t="shared" si="16"/>
        <v>52575</v>
      </c>
      <c r="K1346" s="9">
        <f t="array" ref="K1346">QUARTILE(IF($F$3:$F$1460=$F1346,$H$3:$H$1460),1)</f>
        <v>393.94499999999999</v>
      </c>
      <c r="L1346" s="9">
        <f t="array" ref="L1346">QUARTILE(IF($F$3:$F$1460=$F1346,$H$3:$H$1460),2)</f>
        <v>710.01499999999999</v>
      </c>
      <c r="M1346" s="9">
        <f t="array" ref="M1346">QUARTILE(IF($F$3:$F$1460=$F1346,$H$3:$H$1460),3)</f>
        <v>2552.0574999999999</v>
      </c>
    </row>
    <row r="1347" spans="1:13" x14ac:dyDescent="0.25">
      <c r="A1347" s="7">
        <v>1309</v>
      </c>
      <c r="B1347" s="6" t="s">
        <v>1046</v>
      </c>
      <c r="C1347" s="7">
        <v>6213547</v>
      </c>
      <c r="D1347" s="23" t="s">
        <v>1386</v>
      </c>
      <c r="E1347" s="6" t="s">
        <v>1387</v>
      </c>
      <c r="F1347" s="21" t="s">
        <v>60</v>
      </c>
      <c r="G1347" s="45" t="s">
        <v>1388</v>
      </c>
      <c r="H1347" s="22">
        <v>585</v>
      </c>
      <c r="I1347" s="9">
        <f>25+76</f>
        <v>101</v>
      </c>
      <c r="J1347" s="22">
        <f t="shared" si="16"/>
        <v>59085</v>
      </c>
      <c r="K1347" s="9">
        <f t="array" ref="K1347">QUARTILE(IF($F$3:$F$1460=$F1347,$H$3:$H$1460),1)</f>
        <v>680</v>
      </c>
      <c r="L1347" s="9">
        <f t="array" ref="L1347">QUARTILE(IF($F$3:$F$1460=$F1347,$H$3:$H$1460),2)</f>
        <v>991</v>
      </c>
      <c r="M1347" s="9">
        <f t="array" ref="M1347">QUARTILE(IF($F$3:$F$1460=$F1347,$H$3:$H$1460),3)</f>
        <v>1485.8333333333335</v>
      </c>
    </row>
    <row r="1348" spans="1:13" x14ac:dyDescent="0.25">
      <c r="A1348" s="7">
        <v>1310</v>
      </c>
      <c r="B1348" s="6" t="s">
        <v>1046</v>
      </c>
      <c r="C1348" s="7">
        <v>6213547</v>
      </c>
      <c r="D1348" s="23" t="s">
        <v>1386</v>
      </c>
      <c r="E1348" s="6" t="s">
        <v>1387</v>
      </c>
      <c r="F1348" s="21" t="s">
        <v>44</v>
      </c>
      <c r="G1348" s="45" t="s">
        <v>1389</v>
      </c>
      <c r="H1348" s="22">
        <v>135</v>
      </c>
      <c r="I1348" s="9">
        <v>109</v>
      </c>
      <c r="J1348" s="22">
        <f t="shared" si="16"/>
        <v>14715</v>
      </c>
      <c r="K1348" s="9">
        <f t="array" ref="K1348">QUARTILE(IF($F$3:$F$1460=$F1348,$H$3:$H$1460),1)</f>
        <v>141.67500000000001</v>
      </c>
      <c r="L1348" s="9">
        <f t="array" ref="L1348">QUARTILE(IF($F$3:$F$1460=$F1348,$H$3:$H$1460),2)</f>
        <v>194</v>
      </c>
      <c r="M1348" s="9">
        <f t="array" ref="M1348">QUARTILE(IF($F$3:$F$1460=$F1348,$H$3:$H$1460),3)</f>
        <v>266.75</v>
      </c>
    </row>
    <row r="1349" spans="1:13" x14ac:dyDescent="0.25">
      <c r="A1349" s="7">
        <v>1311</v>
      </c>
      <c r="B1349" s="6" t="s">
        <v>1046</v>
      </c>
      <c r="C1349" s="7">
        <v>6213547</v>
      </c>
      <c r="D1349" s="23" t="s">
        <v>1386</v>
      </c>
      <c r="E1349" s="6" t="s">
        <v>1387</v>
      </c>
      <c r="F1349" s="21" t="s">
        <v>60</v>
      </c>
      <c r="G1349" s="45" t="s">
        <v>1390</v>
      </c>
      <c r="H1349" s="22">
        <v>1750</v>
      </c>
      <c r="I1349" s="9">
        <v>4</v>
      </c>
      <c r="J1349" s="22">
        <f t="shared" si="16"/>
        <v>7000</v>
      </c>
      <c r="K1349" s="9">
        <f t="array" ref="K1349">QUARTILE(IF($F$3:$F$1460=$F1349,$H$3:$H$1460),1)</f>
        <v>680</v>
      </c>
      <c r="L1349" s="9">
        <f t="array" ref="L1349">QUARTILE(IF($F$3:$F$1460=$F1349,$H$3:$H$1460),2)</f>
        <v>991</v>
      </c>
      <c r="M1349" s="9">
        <f t="array" ref="M1349">QUARTILE(IF($F$3:$F$1460=$F1349,$H$3:$H$1460),3)</f>
        <v>1485.8333333333335</v>
      </c>
    </row>
    <row r="1350" spans="1:13" x14ac:dyDescent="0.25">
      <c r="A1350" s="7">
        <v>1312</v>
      </c>
      <c r="B1350" s="6" t="s">
        <v>1046</v>
      </c>
      <c r="C1350" s="7">
        <v>6213547</v>
      </c>
      <c r="D1350" s="23" t="s">
        <v>1386</v>
      </c>
      <c r="E1350" s="6" t="s">
        <v>1387</v>
      </c>
      <c r="F1350" s="21" t="s">
        <v>16</v>
      </c>
      <c r="G1350" s="6" t="s">
        <v>1391</v>
      </c>
      <c r="H1350" s="22">
        <v>19</v>
      </c>
      <c r="I1350" s="9">
        <v>10</v>
      </c>
      <c r="J1350" s="22">
        <f t="shared" si="16"/>
        <v>190</v>
      </c>
      <c r="K1350" s="9">
        <f t="array" ref="K1350">QUARTILE(IF($F$3:$F$1460=$F1350,$H$3:$H$1460),1)</f>
        <v>14.8</v>
      </c>
      <c r="L1350" s="9">
        <f t="array" ref="L1350">QUARTILE(IF($F$3:$F$1460=$F1350,$H$3:$H$1460),2)</f>
        <v>19.5</v>
      </c>
      <c r="M1350" s="9">
        <f t="array" ref="M1350">QUARTILE(IF($F$3:$F$1460=$F1350,$H$3:$H$1460),3)</f>
        <v>31.25</v>
      </c>
    </row>
    <row r="1351" spans="1:13" x14ac:dyDescent="0.25">
      <c r="A1351" s="7">
        <v>1313</v>
      </c>
      <c r="B1351" s="6" t="s">
        <v>1046</v>
      </c>
      <c r="C1351" s="7">
        <v>6213547</v>
      </c>
      <c r="D1351" s="23" t="s">
        <v>1386</v>
      </c>
      <c r="E1351" s="6" t="s">
        <v>1387</v>
      </c>
      <c r="F1351" s="21" t="s">
        <v>20</v>
      </c>
      <c r="G1351" s="6" t="s">
        <v>1392</v>
      </c>
      <c r="H1351" s="22">
        <v>299</v>
      </c>
      <c r="I1351" s="9">
        <v>8</v>
      </c>
      <c r="J1351" s="22">
        <f t="shared" si="16"/>
        <v>2392</v>
      </c>
      <c r="K1351" s="9">
        <f t="array" ref="K1351">QUARTILE(IF($F$3:$F$1460=$F1351,$H$3:$H$1460),1)</f>
        <v>22.082500000000003</v>
      </c>
      <c r="L1351" s="9">
        <f t="array" ref="L1351">QUARTILE(IF($F$3:$F$1460=$F1351,$H$3:$H$1460),2)</f>
        <v>31.15</v>
      </c>
      <c r="M1351" s="9">
        <f t="array" ref="M1351">QUARTILE(IF($F$3:$F$1460=$F1351,$H$3:$H$1460),3)</f>
        <v>48.125</v>
      </c>
    </row>
    <row r="1352" spans="1:13" x14ac:dyDescent="0.25">
      <c r="A1352" s="7">
        <v>1314</v>
      </c>
      <c r="B1352" s="6" t="s">
        <v>1046</v>
      </c>
      <c r="C1352" s="7">
        <v>6213547</v>
      </c>
      <c r="D1352" s="23" t="s">
        <v>1386</v>
      </c>
      <c r="E1352" s="6" t="s">
        <v>1387</v>
      </c>
      <c r="F1352" s="21" t="s">
        <v>54</v>
      </c>
      <c r="G1352" s="6" t="s">
        <v>1393</v>
      </c>
      <c r="H1352" s="22">
        <v>430</v>
      </c>
      <c r="I1352" s="9">
        <v>8</v>
      </c>
      <c r="J1352" s="22">
        <f t="shared" si="16"/>
        <v>3440</v>
      </c>
      <c r="K1352" s="9">
        <f t="array" ref="K1352">QUARTILE(IF($F$3:$F$1460=$F1352,$H$3:$H$1460),1)</f>
        <v>393.94499999999999</v>
      </c>
      <c r="L1352" s="9">
        <f t="array" ref="L1352">QUARTILE(IF($F$3:$F$1460=$F1352,$H$3:$H$1460),2)</f>
        <v>710.01499999999999</v>
      </c>
      <c r="M1352" s="9">
        <f t="array" ref="M1352">QUARTILE(IF($F$3:$F$1460=$F1352,$H$3:$H$1460),3)</f>
        <v>2552.0574999999999</v>
      </c>
    </row>
    <row r="1353" spans="1:13" x14ac:dyDescent="0.25">
      <c r="A1353" s="7">
        <v>1315</v>
      </c>
      <c r="B1353" s="6" t="s">
        <v>1046</v>
      </c>
      <c r="C1353" s="7">
        <v>6213547</v>
      </c>
      <c r="D1353" s="23" t="s">
        <v>1386</v>
      </c>
      <c r="E1353" s="6" t="s">
        <v>1387</v>
      </c>
      <c r="F1353" s="21" t="s">
        <v>46</v>
      </c>
      <c r="G1353" s="45" t="s">
        <v>1394</v>
      </c>
      <c r="H1353" s="22">
        <v>350</v>
      </c>
      <c r="I1353" s="9">
        <v>22</v>
      </c>
      <c r="J1353" s="22">
        <f t="shared" si="16"/>
        <v>7700</v>
      </c>
      <c r="K1353" s="9">
        <f t="array" ref="K1353">QUARTILE(IF($F$3:$F$1460=$F1353,$H$3:$H$1460),1)</f>
        <v>229.78</v>
      </c>
      <c r="L1353" s="9">
        <f t="array" ref="L1353">QUARTILE(IF($F$3:$F$1460=$F1353,$H$3:$H$1460),2)</f>
        <v>424.2</v>
      </c>
      <c r="M1353" s="9">
        <f t="array" ref="M1353">QUARTILE(IF($F$3:$F$1460=$F1353,$H$3:$H$1460),3)</f>
        <v>1030.3</v>
      </c>
    </row>
    <row r="1354" spans="1:13" x14ac:dyDescent="0.25">
      <c r="A1354" s="7">
        <v>1316</v>
      </c>
      <c r="B1354" s="6" t="s">
        <v>1046</v>
      </c>
      <c r="C1354" s="7">
        <v>6213547</v>
      </c>
      <c r="D1354" s="23" t="s">
        <v>1386</v>
      </c>
      <c r="E1354" s="6" t="s">
        <v>1387</v>
      </c>
      <c r="F1354" s="21" t="s">
        <v>31</v>
      </c>
      <c r="G1354" s="6" t="s">
        <v>1395</v>
      </c>
      <c r="H1354" s="22">
        <v>211</v>
      </c>
      <c r="I1354" s="9">
        <v>4</v>
      </c>
      <c r="J1354" s="22">
        <f t="shared" si="16"/>
        <v>844</v>
      </c>
      <c r="K1354" s="9">
        <f t="array" ref="K1354">QUARTILE(IF($F$3:$F$1460=$F1354,$H$3:$H$1460),1)</f>
        <v>55.5</v>
      </c>
      <c r="L1354" s="9">
        <f t="array" ref="L1354">QUARTILE(IF($F$3:$F$1460=$F1354,$H$3:$H$1460),2)</f>
        <v>91.88</v>
      </c>
      <c r="M1354" s="9">
        <f t="array" ref="M1354">QUARTILE(IF($F$3:$F$1460=$F1354,$H$3:$H$1460),3)</f>
        <v>148.36000000000001</v>
      </c>
    </row>
    <row r="1355" spans="1:13" x14ac:dyDescent="0.25">
      <c r="A1355" s="7">
        <v>1317</v>
      </c>
      <c r="B1355" s="6" t="s">
        <v>1046</v>
      </c>
      <c r="C1355" s="7">
        <v>6213547</v>
      </c>
      <c r="D1355" s="23" t="s">
        <v>1386</v>
      </c>
      <c r="E1355" s="6" t="s">
        <v>1387</v>
      </c>
      <c r="F1355" s="21" t="s">
        <v>55</v>
      </c>
      <c r="G1355" s="6" t="s">
        <v>1396</v>
      </c>
      <c r="H1355" s="22">
        <v>410</v>
      </c>
      <c r="I1355" s="9">
        <v>1</v>
      </c>
      <c r="J1355" s="22">
        <f t="shared" si="16"/>
        <v>410</v>
      </c>
      <c r="K1355" s="9">
        <f t="array" ref="K1355">QUARTILE(IF($F$3:$F$1460=$F1355,$H$3:$H$1460),1)</f>
        <v>410</v>
      </c>
      <c r="L1355" s="9">
        <f t="array" ref="L1355">QUARTILE(IF($F$3:$F$1460=$F1355,$H$3:$H$1460),2)</f>
        <v>410</v>
      </c>
      <c r="M1355" s="9">
        <f t="array" ref="M1355">QUARTILE(IF($F$3:$F$1460=$F1355,$H$3:$H$1460),3)</f>
        <v>410</v>
      </c>
    </row>
    <row r="1356" spans="1:13" x14ac:dyDescent="0.25">
      <c r="A1356" s="7">
        <v>1318</v>
      </c>
      <c r="B1356" s="6" t="s">
        <v>1046</v>
      </c>
      <c r="C1356" s="7">
        <v>6213547</v>
      </c>
      <c r="D1356" s="23" t="s">
        <v>1386</v>
      </c>
      <c r="E1356" s="6" t="s">
        <v>1387</v>
      </c>
      <c r="F1356" s="21" t="s">
        <v>11</v>
      </c>
      <c r="G1356" s="6" t="s">
        <v>1397</v>
      </c>
      <c r="H1356" s="22">
        <v>529</v>
      </c>
      <c r="I1356" s="9">
        <v>1</v>
      </c>
      <c r="J1356" s="22">
        <f t="shared" si="16"/>
        <v>529</v>
      </c>
      <c r="K1356" s="9">
        <f t="array" ref="K1356">QUARTILE(IF($F$3:$F$1460=$F1356,$H$3:$H$1460),1)</f>
        <v>9.8249999999999993</v>
      </c>
      <c r="L1356" s="9">
        <f t="array" ref="L1356">QUARTILE(IF($F$3:$F$1460=$F1356,$H$3:$H$1460),2)</f>
        <v>21.14</v>
      </c>
      <c r="M1356" s="9">
        <f t="array" ref="M1356">QUARTILE(IF($F$3:$F$1460=$F1356,$H$3:$H$1460),3)</f>
        <v>248.75</v>
      </c>
    </row>
    <row r="1357" spans="1:13" x14ac:dyDescent="0.25">
      <c r="A1357" s="7">
        <v>1319</v>
      </c>
      <c r="B1357" s="6" t="s">
        <v>1046</v>
      </c>
      <c r="C1357" s="7">
        <v>6213547</v>
      </c>
      <c r="D1357" s="23" t="s">
        <v>1386</v>
      </c>
      <c r="E1357" s="6" t="s">
        <v>1387</v>
      </c>
      <c r="F1357" s="21" t="s">
        <v>49</v>
      </c>
      <c r="G1357" s="6" t="s">
        <v>1398</v>
      </c>
      <c r="H1357" s="22">
        <v>289</v>
      </c>
      <c r="I1357" s="9">
        <v>1</v>
      </c>
      <c r="J1357" s="22">
        <f t="shared" si="16"/>
        <v>289</v>
      </c>
      <c r="K1357" s="9">
        <f t="array" ref="K1357">QUARTILE(IF($F$3:$F$1460=$F1357,$H$3:$H$1460),1)</f>
        <v>289</v>
      </c>
      <c r="L1357" s="9">
        <f t="array" ref="L1357">QUARTILE(IF($F$3:$F$1460=$F1357,$H$3:$H$1460),2)</f>
        <v>8259.4500000000007</v>
      </c>
      <c r="M1357" s="9">
        <f t="array" ref="M1357">QUARTILE(IF($F$3:$F$1460=$F1357,$H$3:$H$1460),3)</f>
        <v>40374.120000000003</v>
      </c>
    </row>
    <row r="1358" spans="1:13" x14ac:dyDescent="0.25">
      <c r="A1358" s="7">
        <v>1320</v>
      </c>
      <c r="B1358" s="6" t="s">
        <v>1046</v>
      </c>
      <c r="C1358" s="7">
        <v>6213547</v>
      </c>
      <c r="D1358" s="23" t="s">
        <v>1386</v>
      </c>
      <c r="E1358" s="6" t="s">
        <v>1387</v>
      </c>
      <c r="F1358" s="21" t="s">
        <v>51</v>
      </c>
      <c r="G1358" s="6" t="s">
        <v>1399</v>
      </c>
      <c r="H1358" s="22">
        <v>342</v>
      </c>
      <c r="I1358" s="9">
        <v>1</v>
      </c>
      <c r="J1358" s="22">
        <f t="shared" si="16"/>
        <v>342</v>
      </c>
      <c r="K1358" s="9">
        <f t="array" ref="K1358">QUARTILE(IF($F$3:$F$1460=$F1358,$H$3:$H$1460),1)</f>
        <v>342.25</v>
      </c>
      <c r="L1358" s="9">
        <f t="array" ref="L1358">QUARTILE(IF($F$3:$F$1460=$F1358,$H$3:$H$1460),2)</f>
        <v>342.5</v>
      </c>
      <c r="M1358" s="9">
        <f t="array" ref="M1358">QUARTILE(IF($F$3:$F$1460=$F1358,$H$3:$H$1460),3)</f>
        <v>342.75</v>
      </c>
    </row>
    <row r="1359" spans="1:13" x14ac:dyDescent="0.25">
      <c r="A1359" s="7">
        <v>1321</v>
      </c>
      <c r="B1359" s="6" t="s">
        <v>1046</v>
      </c>
      <c r="C1359" s="7">
        <v>6213547</v>
      </c>
      <c r="D1359" s="23" t="s">
        <v>1386</v>
      </c>
      <c r="E1359" s="6" t="s">
        <v>1387</v>
      </c>
      <c r="F1359" s="21" t="s">
        <v>17</v>
      </c>
      <c r="G1359" s="6" t="s">
        <v>1400</v>
      </c>
      <c r="H1359" s="22">
        <v>51</v>
      </c>
      <c r="I1359" s="9">
        <v>8</v>
      </c>
      <c r="J1359" s="22">
        <f t="shared" si="16"/>
        <v>408</v>
      </c>
      <c r="K1359" s="9">
        <f t="array" ref="K1359">QUARTILE(IF($F$3:$F$1460=$F1359,$H$3:$H$1460),1)</f>
        <v>17.549999999999997</v>
      </c>
      <c r="L1359" s="9">
        <f t="array" ref="L1359">QUARTILE(IF($F$3:$F$1460=$F1359,$H$3:$H$1460),2)</f>
        <v>275.8</v>
      </c>
      <c r="M1359" s="9">
        <f t="array" ref="M1359">QUARTILE(IF($F$3:$F$1460=$F1359,$H$3:$H$1460),3)</f>
        <v>11191.057499999999</v>
      </c>
    </row>
    <row r="1360" spans="1:13" x14ac:dyDescent="0.25">
      <c r="A1360" s="7">
        <v>1322</v>
      </c>
      <c r="B1360" s="6" t="s">
        <v>1046</v>
      </c>
      <c r="C1360" s="7">
        <v>6213547</v>
      </c>
      <c r="D1360" s="23" t="s">
        <v>1386</v>
      </c>
      <c r="E1360" s="6" t="s">
        <v>1387</v>
      </c>
      <c r="F1360" s="21" t="s">
        <v>11</v>
      </c>
      <c r="G1360" s="6" t="s">
        <v>1401</v>
      </c>
      <c r="H1360" s="22">
        <v>159</v>
      </c>
      <c r="I1360" s="9">
        <v>2</v>
      </c>
      <c r="J1360" s="22">
        <f t="shared" si="16"/>
        <v>318</v>
      </c>
      <c r="K1360" s="9">
        <f t="array" ref="K1360">QUARTILE(IF($F$3:$F$1460=$F1360,$H$3:$H$1460),1)</f>
        <v>9.8249999999999993</v>
      </c>
      <c r="L1360" s="9">
        <f t="array" ref="L1360">QUARTILE(IF($F$3:$F$1460=$F1360,$H$3:$H$1460),2)</f>
        <v>21.14</v>
      </c>
      <c r="M1360" s="9">
        <f t="array" ref="M1360">QUARTILE(IF($F$3:$F$1460=$F1360,$H$3:$H$1460),3)</f>
        <v>248.75</v>
      </c>
    </row>
    <row r="1361" spans="1:13" x14ac:dyDescent="0.25">
      <c r="A1361" s="7">
        <v>1323</v>
      </c>
      <c r="B1361" s="6" t="s">
        <v>1046</v>
      </c>
      <c r="C1361" s="7">
        <v>6213547</v>
      </c>
      <c r="D1361" s="23" t="s">
        <v>1386</v>
      </c>
      <c r="E1361" s="6" t="s">
        <v>1387</v>
      </c>
      <c r="F1361" s="21" t="s">
        <v>44</v>
      </c>
      <c r="G1361" s="45" t="s">
        <v>1402</v>
      </c>
      <c r="H1361" s="22">
        <v>231</v>
      </c>
      <c r="I1361" s="9">
        <v>4</v>
      </c>
      <c r="J1361" s="22">
        <f t="shared" si="16"/>
        <v>924</v>
      </c>
      <c r="K1361" s="9">
        <f t="array" ref="K1361">QUARTILE(IF($F$3:$F$1460=$F1361,$H$3:$H$1460),1)</f>
        <v>141.67500000000001</v>
      </c>
      <c r="L1361" s="9">
        <f t="array" ref="L1361">QUARTILE(IF($F$3:$F$1460=$F1361,$H$3:$H$1460),2)</f>
        <v>194</v>
      </c>
      <c r="M1361" s="9">
        <f t="array" ref="M1361">QUARTILE(IF($F$3:$F$1460=$F1361,$H$3:$H$1460),3)</f>
        <v>266.75</v>
      </c>
    </row>
    <row r="1362" spans="1:13" x14ac:dyDescent="0.25">
      <c r="A1362" s="7">
        <v>1324</v>
      </c>
      <c r="B1362" s="6" t="s">
        <v>1046</v>
      </c>
      <c r="C1362" s="7">
        <v>6213547</v>
      </c>
      <c r="D1362" s="23" t="s">
        <v>1386</v>
      </c>
      <c r="E1362" s="6" t="s">
        <v>1387</v>
      </c>
      <c r="F1362" s="21" t="s">
        <v>36</v>
      </c>
      <c r="G1362" s="6" t="s">
        <v>1403</v>
      </c>
      <c r="H1362" s="22">
        <v>123</v>
      </c>
      <c r="I1362" s="9">
        <v>10</v>
      </c>
      <c r="J1362" s="22">
        <f t="shared" si="16"/>
        <v>1230</v>
      </c>
      <c r="K1362" s="9">
        <f t="array" ref="K1362">QUARTILE(IF($F$3:$F$1460=$F1362,$H$3:$H$1460),1)</f>
        <v>88.21</v>
      </c>
      <c r="L1362" s="9">
        <f t="array" ref="L1362">QUARTILE(IF($F$3:$F$1460=$F1362,$H$3:$H$1460),2)</f>
        <v>134.57</v>
      </c>
      <c r="M1362" s="9">
        <f t="array" ref="M1362">QUARTILE(IF($F$3:$F$1460=$F1362,$H$3:$H$1460),3)</f>
        <v>252.7</v>
      </c>
    </row>
    <row r="1363" spans="1:13" x14ac:dyDescent="0.25">
      <c r="A1363" s="7">
        <v>1325</v>
      </c>
      <c r="B1363" s="6" t="s">
        <v>1046</v>
      </c>
      <c r="C1363" s="7">
        <v>6213547</v>
      </c>
      <c r="D1363" s="23" t="s">
        <v>1386</v>
      </c>
      <c r="E1363" s="6" t="s">
        <v>1387</v>
      </c>
      <c r="F1363" s="21" t="s">
        <v>54</v>
      </c>
      <c r="G1363" s="45" t="s">
        <v>1404</v>
      </c>
      <c r="H1363" s="22">
        <v>399</v>
      </c>
      <c r="I1363" s="9">
        <v>1</v>
      </c>
      <c r="J1363" s="22">
        <f t="shared" si="16"/>
        <v>399</v>
      </c>
      <c r="K1363" s="9">
        <f t="array" ref="K1363">QUARTILE(IF($F$3:$F$1460=$F1363,$H$3:$H$1460),1)</f>
        <v>393.94499999999999</v>
      </c>
      <c r="L1363" s="9">
        <f t="array" ref="L1363">QUARTILE(IF($F$3:$F$1460=$F1363,$H$3:$H$1460),2)</f>
        <v>710.01499999999999</v>
      </c>
      <c r="M1363" s="9">
        <f t="array" ref="M1363">QUARTILE(IF($F$3:$F$1460=$F1363,$H$3:$H$1460),3)</f>
        <v>2552.0574999999999</v>
      </c>
    </row>
    <row r="1364" spans="1:13" ht="16.5" customHeight="1" x14ac:dyDescent="0.25">
      <c r="A1364" s="7">
        <v>1326</v>
      </c>
      <c r="B1364" s="6" t="s">
        <v>1046</v>
      </c>
      <c r="C1364" s="7">
        <v>6213547</v>
      </c>
      <c r="D1364" s="23" t="s">
        <v>1386</v>
      </c>
      <c r="E1364" s="6" t="s">
        <v>1387</v>
      </c>
      <c r="F1364" s="21" t="s">
        <v>60</v>
      </c>
      <c r="G1364" s="45" t="s">
        <v>1405</v>
      </c>
      <c r="H1364" s="22">
        <f>5250+834</f>
        <v>6084</v>
      </c>
      <c r="I1364" s="9">
        <v>1</v>
      </c>
      <c r="J1364" s="22">
        <f t="shared" si="16"/>
        <v>6084</v>
      </c>
      <c r="K1364" s="9">
        <f t="array" ref="K1364">QUARTILE(IF($F$3:$F$1460=$F1364,$H$3:$H$1460),1)</f>
        <v>680</v>
      </c>
      <c r="L1364" s="9">
        <f t="array" ref="L1364">QUARTILE(IF($F$3:$F$1460=$F1364,$H$3:$H$1460),2)</f>
        <v>991</v>
      </c>
      <c r="M1364" s="9">
        <f t="array" ref="M1364">QUARTILE(IF($F$3:$F$1460=$F1364,$H$3:$H$1460),3)</f>
        <v>1485.8333333333335</v>
      </c>
    </row>
    <row r="1365" spans="1:13" x14ac:dyDescent="0.25">
      <c r="A1365" s="7">
        <v>1327</v>
      </c>
      <c r="B1365" s="6" t="s">
        <v>1046</v>
      </c>
      <c r="C1365" s="7">
        <v>6213547</v>
      </c>
      <c r="D1365" s="23" t="s">
        <v>1386</v>
      </c>
      <c r="E1365" s="6" t="s">
        <v>1387</v>
      </c>
      <c r="F1365" s="21" t="s">
        <v>51</v>
      </c>
      <c r="G1365" s="6" t="s">
        <v>1406</v>
      </c>
      <c r="H1365" s="22">
        <v>343</v>
      </c>
      <c r="I1365" s="9">
        <v>2</v>
      </c>
      <c r="J1365" s="22">
        <f t="shared" si="16"/>
        <v>686</v>
      </c>
      <c r="K1365" s="9">
        <f t="array" ref="K1365">QUARTILE(IF($F$3:$F$1460=$F1365,$H$3:$H$1460),1)</f>
        <v>342.25</v>
      </c>
      <c r="L1365" s="9">
        <f t="array" ref="L1365">QUARTILE(IF($F$3:$F$1460=$F1365,$H$3:$H$1460),2)</f>
        <v>342.5</v>
      </c>
      <c r="M1365" s="9">
        <f t="array" ref="M1365">QUARTILE(IF($F$3:$F$1460=$F1365,$H$3:$H$1460),3)</f>
        <v>342.75</v>
      </c>
    </row>
    <row r="1366" spans="1:13" x14ac:dyDescent="0.25">
      <c r="A1366" s="7">
        <v>1328</v>
      </c>
      <c r="B1366" s="6" t="s">
        <v>1046</v>
      </c>
      <c r="C1366" s="7">
        <v>6213547</v>
      </c>
      <c r="D1366" s="23" t="s">
        <v>1386</v>
      </c>
      <c r="E1366" s="6" t="s">
        <v>1387</v>
      </c>
      <c r="F1366" s="21" t="s">
        <v>62</v>
      </c>
      <c r="G1366" s="6" t="s">
        <v>1407</v>
      </c>
      <c r="H1366" s="22">
        <v>399</v>
      </c>
      <c r="I1366" s="9">
        <v>9</v>
      </c>
      <c r="J1366" s="22">
        <f t="shared" si="16"/>
        <v>3591</v>
      </c>
      <c r="K1366" s="9">
        <f t="array" ref="K1366">QUARTILE(IF($F$3:$F$1460=$F1366,$H$3:$H$1460),1)</f>
        <v>783.15</v>
      </c>
      <c r="L1366" s="9">
        <f t="array" ref="L1366">QUARTILE(IF($F$3:$F$1460=$F1366,$H$3:$H$1460),2)</f>
        <v>1196.3</v>
      </c>
      <c r="M1366" s="9">
        <f t="array" ref="M1366">QUARTILE(IF($F$3:$F$1460=$F1366,$H$3:$H$1460),3)</f>
        <v>1455.5</v>
      </c>
    </row>
    <row r="1367" spans="1:13" x14ac:dyDescent="0.25">
      <c r="A1367" s="7">
        <v>1329</v>
      </c>
      <c r="B1367" s="6" t="s">
        <v>1046</v>
      </c>
      <c r="C1367" s="7">
        <v>6213547</v>
      </c>
      <c r="D1367" s="23" t="s">
        <v>1386</v>
      </c>
      <c r="E1367" s="6" t="s">
        <v>1387</v>
      </c>
      <c r="F1367" s="21" t="s">
        <v>17</v>
      </c>
      <c r="G1367" s="6" t="s">
        <v>1408</v>
      </c>
      <c r="H1367" s="22">
        <v>7</v>
      </c>
      <c r="I1367" s="9">
        <v>11</v>
      </c>
      <c r="J1367" s="22">
        <f t="shared" si="16"/>
        <v>77</v>
      </c>
      <c r="K1367" s="9">
        <f t="array" ref="K1367">QUARTILE(IF($F$3:$F$1460=$F1367,$H$3:$H$1460),1)</f>
        <v>17.549999999999997</v>
      </c>
      <c r="L1367" s="9">
        <f t="array" ref="L1367">QUARTILE(IF($F$3:$F$1460=$F1367,$H$3:$H$1460),2)</f>
        <v>275.8</v>
      </c>
      <c r="M1367" s="9">
        <f t="array" ref="M1367">QUARTILE(IF($F$3:$F$1460=$F1367,$H$3:$H$1460),3)</f>
        <v>11191.057499999999</v>
      </c>
    </row>
    <row r="1368" spans="1:13" x14ac:dyDescent="0.25">
      <c r="A1368" s="7">
        <v>1330</v>
      </c>
      <c r="B1368" s="6" t="s">
        <v>1409</v>
      </c>
      <c r="C1368" s="7">
        <v>3852833</v>
      </c>
      <c r="D1368" s="23" t="s">
        <v>1410</v>
      </c>
      <c r="E1368" s="6" t="s">
        <v>1411</v>
      </c>
      <c r="F1368" s="21" t="s">
        <v>49</v>
      </c>
      <c r="G1368" s="6" t="s">
        <v>1412</v>
      </c>
      <c r="H1368" s="22">
        <v>21.3</v>
      </c>
      <c r="I1368" s="9">
        <v>57</v>
      </c>
      <c r="J1368" s="22">
        <f t="shared" si="16"/>
        <v>1214.1000000000001</v>
      </c>
      <c r="K1368" s="9">
        <f t="array" ref="K1368">QUARTILE(IF($F$3:$F$1460=$F1368,$H$3:$H$1460),1)</f>
        <v>289</v>
      </c>
      <c r="L1368" s="9">
        <f t="array" ref="L1368">QUARTILE(IF($F$3:$F$1460=$F1368,$H$3:$H$1460),2)</f>
        <v>8259.4500000000007</v>
      </c>
      <c r="M1368" s="9">
        <f t="array" ref="M1368">QUARTILE(IF($F$3:$F$1460=$F1368,$H$3:$H$1460),3)</f>
        <v>40374.120000000003</v>
      </c>
    </row>
    <row r="1369" spans="1:13" x14ac:dyDescent="0.25">
      <c r="A1369" s="7">
        <v>1331</v>
      </c>
      <c r="B1369" s="6" t="s">
        <v>1409</v>
      </c>
      <c r="C1369" s="7">
        <v>3852833</v>
      </c>
      <c r="D1369" s="23" t="s">
        <v>1410</v>
      </c>
      <c r="E1369" s="6" t="s">
        <v>1411</v>
      </c>
      <c r="F1369" s="21" t="s">
        <v>11</v>
      </c>
      <c r="G1369" s="6" t="s">
        <v>1413</v>
      </c>
      <c r="H1369" s="22">
        <v>7.5</v>
      </c>
      <c r="I1369" s="9">
        <v>39</v>
      </c>
      <c r="J1369" s="22">
        <f t="shared" si="16"/>
        <v>292.5</v>
      </c>
      <c r="K1369" s="9">
        <f t="array" ref="K1369">QUARTILE(IF($F$3:$F$1460=$F1369,$H$3:$H$1460),1)</f>
        <v>9.8249999999999993</v>
      </c>
      <c r="L1369" s="9">
        <f t="array" ref="L1369">QUARTILE(IF($F$3:$F$1460=$F1369,$H$3:$H$1460),2)</f>
        <v>21.14</v>
      </c>
      <c r="M1369" s="9">
        <f t="array" ref="M1369">QUARTILE(IF($F$3:$F$1460=$F1369,$H$3:$H$1460),3)</f>
        <v>248.75</v>
      </c>
    </row>
    <row r="1370" spans="1:13" x14ac:dyDescent="0.25">
      <c r="A1370" s="7">
        <v>1332</v>
      </c>
      <c r="B1370" s="6" t="s">
        <v>1409</v>
      </c>
      <c r="C1370" s="7">
        <v>3852833</v>
      </c>
      <c r="D1370" s="23" t="s">
        <v>1410</v>
      </c>
      <c r="E1370" s="6" t="s">
        <v>1411</v>
      </c>
      <c r="F1370" s="21" t="s">
        <v>19</v>
      </c>
      <c r="G1370" s="6" t="s">
        <v>1414</v>
      </c>
      <c r="H1370" s="22">
        <v>21.64</v>
      </c>
      <c r="I1370" s="9">
        <v>36</v>
      </c>
      <c r="J1370" s="22">
        <f t="shared" si="16"/>
        <v>779.04</v>
      </c>
      <c r="K1370" s="9">
        <f t="array" ref="K1370">QUARTILE(IF($F$3:$F$1460=$F1370,$H$3:$H$1460),1)</f>
        <v>21.64</v>
      </c>
      <c r="L1370" s="9">
        <f t="array" ref="L1370">QUARTILE(IF($F$3:$F$1460=$F1370,$H$3:$H$1460),2)</f>
        <v>21.64</v>
      </c>
      <c r="M1370" s="9">
        <f t="array" ref="M1370">QUARTILE(IF($F$3:$F$1460=$F1370,$H$3:$H$1460),3)</f>
        <v>21.64</v>
      </c>
    </row>
    <row r="1371" spans="1:13" x14ac:dyDescent="0.25">
      <c r="A1371" s="7">
        <v>1333</v>
      </c>
      <c r="B1371" s="6" t="s">
        <v>1409</v>
      </c>
      <c r="C1371" s="7">
        <v>3852833</v>
      </c>
      <c r="D1371" s="23" t="s">
        <v>1410</v>
      </c>
      <c r="E1371" s="6" t="s">
        <v>1411</v>
      </c>
      <c r="F1371" s="21" t="s">
        <v>36</v>
      </c>
      <c r="G1371" s="6" t="s">
        <v>1415</v>
      </c>
      <c r="H1371" s="22">
        <v>32.4</v>
      </c>
      <c r="I1371" s="9">
        <v>23</v>
      </c>
      <c r="J1371" s="22">
        <f t="shared" si="16"/>
        <v>745.19999999999993</v>
      </c>
      <c r="K1371" s="9">
        <f t="array" ref="K1371">QUARTILE(IF($F$3:$F$1460=$F1371,$H$3:$H$1460),1)</f>
        <v>88.21</v>
      </c>
      <c r="L1371" s="9">
        <f t="array" ref="L1371">QUARTILE(IF($F$3:$F$1460=$F1371,$H$3:$H$1460),2)</f>
        <v>134.57</v>
      </c>
      <c r="M1371" s="9">
        <f t="array" ref="M1371">QUARTILE(IF($F$3:$F$1460=$F1371,$H$3:$H$1460),3)</f>
        <v>252.7</v>
      </c>
    </row>
    <row r="1372" spans="1:13" x14ac:dyDescent="0.25">
      <c r="A1372" s="7">
        <v>1335</v>
      </c>
      <c r="B1372" s="6" t="s">
        <v>1409</v>
      </c>
      <c r="C1372" s="7">
        <v>3852833</v>
      </c>
      <c r="D1372" s="23" t="s">
        <v>1410</v>
      </c>
      <c r="E1372" s="6" t="s">
        <v>1411</v>
      </c>
      <c r="F1372" s="21" t="s">
        <v>37</v>
      </c>
      <c r="G1372" s="6" t="s">
        <v>1416</v>
      </c>
      <c r="H1372" s="22">
        <v>132.30000000000001</v>
      </c>
      <c r="I1372" s="9">
        <v>14</v>
      </c>
      <c r="J1372" s="22">
        <f t="shared" si="16"/>
        <v>1852.2000000000003</v>
      </c>
      <c r="K1372" s="9">
        <f t="array" ref="K1372">QUARTILE(IF($F$3:$F$1460=$F1372,$H$3:$H$1460),1)</f>
        <v>89.477499999999992</v>
      </c>
      <c r="L1372" s="9">
        <f t="array" ref="L1372">QUARTILE(IF($F$3:$F$1460=$F1372,$H$3:$H$1460),2)</f>
        <v>121</v>
      </c>
      <c r="M1372" s="9">
        <f t="array" ref="M1372">QUARTILE(IF($F$3:$F$1460=$F1372,$H$3:$H$1460),3)</f>
        <v>139.9025</v>
      </c>
    </row>
    <row r="1373" spans="1:13" x14ac:dyDescent="0.25">
      <c r="A1373" s="7">
        <v>1336</v>
      </c>
      <c r="B1373" s="6" t="s">
        <v>1409</v>
      </c>
      <c r="C1373" s="7">
        <v>3852833</v>
      </c>
      <c r="D1373" s="23" t="s">
        <v>1410</v>
      </c>
      <c r="E1373" s="6" t="s">
        <v>1411</v>
      </c>
      <c r="F1373" s="21" t="s">
        <v>37</v>
      </c>
      <c r="G1373" s="6" t="s">
        <v>1417</v>
      </c>
      <c r="H1373" s="22">
        <v>142.61000000000001</v>
      </c>
      <c r="I1373" s="9">
        <v>2</v>
      </c>
      <c r="J1373" s="22">
        <f t="shared" si="16"/>
        <v>285.22000000000003</v>
      </c>
      <c r="K1373" s="9">
        <f t="array" ref="K1373">QUARTILE(IF($F$3:$F$1460=$F1373,$H$3:$H$1460),1)</f>
        <v>89.477499999999992</v>
      </c>
      <c r="L1373" s="9">
        <f t="array" ref="L1373">QUARTILE(IF($F$3:$F$1460=$F1373,$H$3:$H$1460),2)</f>
        <v>121</v>
      </c>
      <c r="M1373" s="9">
        <f t="array" ref="M1373">QUARTILE(IF($F$3:$F$1460=$F1373,$H$3:$H$1460),3)</f>
        <v>139.9025</v>
      </c>
    </row>
    <row r="1374" spans="1:13" x14ac:dyDescent="0.25">
      <c r="A1374" s="7">
        <v>1337</v>
      </c>
      <c r="B1374" s="6" t="s">
        <v>1409</v>
      </c>
      <c r="C1374" s="7">
        <v>3852833</v>
      </c>
      <c r="D1374" s="23" t="s">
        <v>1410</v>
      </c>
      <c r="E1374" s="6" t="s">
        <v>1411</v>
      </c>
      <c r="F1374" s="21" t="s">
        <v>580</v>
      </c>
      <c r="G1374" s="6" t="s">
        <v>1418</v>
      </c>
      <c r="H1374" s="22">
        <v>9.19</v>
      </c>
      <c r="I1374" s="9">
        <v>112</v>
      </c>
      <c r="J1374" s="22">
        <f t="shared" si="16"/>
        <v>1029.28</v>
      </c>
      <c r="K1374" s="9">
        <f t="array" ref="K1374">QUARTILE(IF($F$3:$F$1460=$F1374,$H$3:$H$1460),1)</f>
        <v>1759.125</v>
      </c>
      <c r="L1374" s="9">
        <f t="array" ref="L1374">QUARTILE(IF($F$3:$F$1460=$F1374,$H$3:$H$1460),2)</f>
        <v>3923.7249999999999</v>
      </c>
      <c r="M1374" s="9">
        <f t="array" ref="M1374">QUARTILE(IF($F$3:$F$1460=$F1374,$H$3:$H$1460),3)</f>
        <v>12062.504999999999</v>
      </c>
    </row>
    <row r="1375" spans="1:13" x14ac:dyDescent="0.25">
      <c r="A1375" s="7">
        <v>1338</v>
      </c>
      <c r="B1375" s="6" t="s">
        <v>1409</v>
      </c>
      <c r="C1375" s="7">
        <v>3852833</v>
      </c>
      <c r="D1375" s="23" t="s">
        <v>1410</v>
      </c>
      <c r="E1375" s="6" t="s">
        <v>1411</v>
      </c>
      <c r="F1375" s="21" t="s">
        <v>32</v>
      </c>
      <c r="G1375" s="45" t="s">
        <v>1419</v>
      </c>
      <c r="H1375" s="22">
        <v>51.53</v>
      </c>
      <c r="I1375" s="9">
        <v>149</v>
      </c>
      <c r="J1375" s="22">
        <f t="shared" si="16"/>
        <v>7677.97</v>
      </c>
      <c r="K1375" s="9">
        <f t="array" ref="K1375">QUARTILE(IF($F$3:$F$1460=$F1375,$H$3:$H$1460),1)</f>
        <v>59.227499999999999</v>
      </c>
      <c r="L1375" s="9">
        <f t="array" ref="L1375">QUARTILE(IF($F$3:$F$1460=$F1375,$H$3:$H$1460),2)</f>
        <v>332.14</v>
      </c>
      <c r="M1375" s="9">
        <f t="array" ref="M1375">QUARTILE(IF($F$3:$F$1460=$F1375,$H$3:$H$1460),3)</f>
        <v>1331.8050000000001</v>
      </c>
    </row>
    <row r="1376" spans="1:13" x14ac:dyDescent="0.25">
      <c r="A1376" s="7">
        <v>1339</v>
      </c>
      <c r="B1376" s="6" t="s">
        <v>1409</v>
      </c>
      <c r="C1376" s="7">
        <v>3852833</v>
      </c>
      <c r="D1376" s="23" t="s">
        <v>1410</v>
      </c>
      <c r="E1376" s="6" t="s">
        <v>1411</v>
      </c>
      <c r="F1376" s="4" t="s">
        <v>13</v>
      </c>
      <c r="G1376" s="6" t="s">
        <v>1420</v>
      </c>
      <c r="H1376" s="22">
        <v>15.69</v>
      </c>
      <c r="I1376" s="9">
        <v>80</v>
      </c>
      <c r="J1376" s="22">
        <f t="shared" si="16"/>
        <v>1255.2</v>
      </c>
      <c r="K1376" s="9">
        <f t="array" ref="K1376">QUARTILE(IF($F$3:$F$1460=$F1376,$H$3:$H$1460),1)</f>
        <v>11.272500000000001</v>
      </c>
      <c r="L1376" s="9">
        <f t="array" ref="L1376">QUARTILE(IF($F$3:$F$1460=$F1376,$H$3:$H$1460),2)</f>
        <v>12.745000000000001</v>
      </c>
      <c r="M1376" s="9">
        <f t="array" ref="M1376">QUARTILE(IF($F$3:$F$1460=$F1376,$H$3:$H$1460),3)</f>
        <v>14.217499999999999</v>
      </c>
    </row>
    <row r="1377" spans="1:13" x14ac:dyDescent="0.25">
      <c r="A1377" s="7">
        <v>1340</v>
      </c>
      <c r="B1377" s="6" t="s">
        <v>1409</v>
      </c>
      <c r="C1377" s="7">
        <v>3852833</v>
      </c>
      <c r="D1377" s="23" t="s">
        <v>1410</v>
      </c>
      <c r="E1377" s="6" t="s">
        <v>1411</v>
      </c>
      <c r="F1377" s="21" t="s">
        <v>6</v>
      </c>
      <c r="G1377" s="6" t="s">
        <v>1421</v>
      </c>
      <c r="H1377" s="22">
        <v>10.96</v>
      </c>
      <c r="I1377" s="9">
        <v>174</v>
      </c>
      <c r="J1377" s="22">
        <f t="shared" si="16"/>
        <v>1907.0400000000002</v>
      </c>
      <c r="K1377" s="9">
        <f t="array" ref="K1377">QUARTILE(IF($F$3:$F$1460=$F1377,$H$3:$H$1460),1)</f>
        <v>4.25</v>
      </c>
      <c r="L1377" s="9">
        <f t="array" ref="L1377">QUARTILE(IF($F$3:$F$1460=$F1377,$H$3:$H$1460),2)</f>
        <v>6.12</v>
      </c>
      <c r="M1377" s="9">
        <f t="array" ref="M1377">QUARTILE(IF($F$3:$F$1460=$F1377,$H$3:$H$1460),3)</f>
        <v>13.55</v>
      </c>
    </row>
    <row r="1378" spans="1:13" x14ac:dyDescent="0.25">
      <c r="A1378" s="7">
        <v>1341</v>
      </c>
      <c r="B1378" s="6" t="s">
        <v>1409</v>
      </c>
      <c r="C1378" s="7">
        <v>3852833</v>
      </c>
      <c r="D1378" s="23" t="s">
        <v>1410</v>
      </c>
      <c r="E1378" s="6" t="s">
        <v>1411</v>
      </c>
      <c r="F1378" s="21" t="s">
        <v>6</v>
      </c>
      <c r="G1378" s="6" t="s">
        <v>1422</v>
      </c>
      <c r="H1378" s="22">
        <v>4.9800000000000004</v>
      </c>
      <c r="I1378" s="9">
        <v>271</v>
      </c>
      <c r="J1378" s="22">
        <f t="shared" si="16"/>
        <v>1349.5800000000002</v>
      </c>
      <c r="K1378" s="9">
        <f t="array" ref="K1378">QUARTILE(IF($F$3:$F$1460=$F1378,$H$3:$H$1460),1)</f>
        <v>4.25</v>
      </c>
      <c r="L1378" s="9">
        <f t="array" ref="L1378">QUARTILE(IF($F$3:$F$1460=$F1378,$H$3:$H$1460),2)</f>
        <v>6.12</v>
      </c>
      <c r="M1378" s="9">
        <f t="array" ref="M1378">QUARTILE(IF($F$3:$F$1460=$F1378,$H$3:$H$1460),3)</f>
        <v>13.55</v>
      </c>
    </row>
    <row r="1379" spans="1:13" x14ac:dyDescent="0.25">
      <c r="A1379" s="7">
        <v>1342</v>
      </c>
      <c r="B1379" s="6" t="s">
        <v>1409</v>
      </c>
      <c r="C1379" s="7">
        <v>3852833</v>
      </c>
      <c r="D1379" s="23" t="s">
        <v>1410</v>
      </c>
      <c r="E1379" s="6" t="s">
        <v>1411</v>
      </c>
      <c r="F1379" s="21" t="s">
        <v>9</v>
      </c>
      <c r="G1379" s="6" t="s">
        <v>1423</v>
      </c>
      <c r="H1379" s="22">
        <v>4.84</v>
      </c>
      <c r="I1379" s="9">
        <v>540</v>
      </c>
      <c r="J1379" s="22">
        <f t="shared" si="16"/>
        <v>2613.6</v>
      </c>
      <c r="K1379" s="9">
        <f t="array" ref="K1379">QUARTILE(IF($F$3:$F$1460=$F1379,$H$3:$H$1460),1)</f>
        <v>5.1899999999999995</v>
      </c>
      <c r="L1379" s="9">
        <f t="array" ref="L1379">QUARTILE(IF($F$3:$F$1460=$F1379,$H$3:$H$1460),2)</f>
        <v>8.5</v>
      </c>
      <c r="M1379" s="9">
        <f t="array" ref="M1379">QUARTILE(IF($F$3:$F$1460=$F1379,$H$3:$H$1460),3)</f>
        <v>21.95</v>
      </c>
    </row>
    <row r="1380" spans="1:13" x14ac:dyDescent="0.25">
      <c r="A1380" s="7">
        <v>1343</v>
      </c>
      <c r="B1380" s="6" t="s">
        <v>1409</v>
      </c>
      <c r="C1380" s="7">
        <v>3852833</v>
      </c>
      <c r="D1380" s="23" t="s">
        <v>1410</v>
      </c>
      <c r="E1380" s="6" t="s">
        <v>1411</v>
      </c>
      <c r="F1380" s="21" t="s">
        <v>6</v>
      </c>
      <c r="G1380" s="6" t="s">
        <v>1424</v>
      </c>
      <c r="H1380" s="22">
        <v>5.19</v>
      </c>
      <c r="I1380" s="9">
        <v>585</v>
      </c>
      <c r="J1380" s="22">
        <f t="shared" si="16"/>
        <v>3036.15</v>
      </c>
      <c r="K1380" s="9">
        <f t="array" ref="K1380">QUARTILE(IF($F$3:$F$1460=$F1380,$H$3:$H$1460),1)</f>
        <v>4.25</v>
      </c>
      <c r="L1380" s="9">
        <f t="array" ref="L1380">QUARTILE(IF($F$3:$F$1460=$F1380,$H$3:$H$1460),2)</f>
        <v>6.12</v>
      </c>
      <c r="M1380" s="9">
        <f t="array" ref="M1380">QUARTILE(IF($F$3:$F$1460=$F1380,$H$3:$H$1460),3)</f>
        <v>13.55</v>
      </c>
    </row>
    <row r="1381" spans="1:13" x14ac:dyDescent="0.25">
      <c r="A1381" s="7">
        <v>1344</v>
      </c>
      <c r="B1381" s="6" t="s">
        <v>1409</v>
      </c>
      <c r="C1381" s="7">
        <v>3852833</v>
      </c>
      <c r="D1381" s="23" t="s">
        <v>1410</v>
      </c>
      <c r="E1381" s="6" t="s">
        <v>1411</v>
      </c>
      <c r="F1381" s="21" t="s">
        <v>17</v>
      </c>
      <c r="G1381" s="6" t="s">
        <v>1425</v>
      </c>
      <c r="H1381" s="22">
        <v>7.38</v>
      </c>
      <c r="I1381" s="9">
        <v>81</v>
      </c>
      <c r="J1381" s="22">
        <f t="shared" si="16"/>
        <v>597.78</v>
      </c>
      <c r="K1381" s="9">
        <f t="array" ref="K1381">QUARTILE(IF($F$3:$F$1460=$F1381,$H$3:$H$1460),1)</f>
        <v>17.549999999999997</v>
      </c>
      <c r="L1381" s="9">
        <f t="array" ref="L1381">QUARTILE(IF($F$3:$F$1460=$F1381,$H$3:$H$1460),2)</f>
        <v>275.8</v>
      </c>
      <c r="M1381" s="9">
        <f t="array" ref="M1381">QUARTILE(IF($F$3:$F$1460=$F1381,$H$3:$H$1460),3)</f>
        <v>11191.057499999999</v>
      </c>
    </row>
    <row r="1382" spans="1:13" x14ac:dyDescent="0.25">
      <c r="A1382" s="7">
        <v>1345</v>
      </c>
      <c r="B1382" s="6" t="s">
        <v>1409</v>
      </c>
      <c r="C1382" s="7">
        <v>3852833</v>
      </c>
      <c r="D1382" s="23" t="s">
        <v>1410</v>
      </c>
      <c r="E1382" s="6" t="s">
        <v>1411</v>
      </c>
      <c r="F1382" s="21" t="s">
        <v>23</v>
      </c>
      <c r="G1382" s="6" t="s">
        <v>1426</v>
      </c>
      <c r="H1382" s="22">
        <v>23.94</v>
      </c>
      <c r="I1382" s="9">
        <v>68</v>
      </c>
      <c r="J1382" s="22">
        <f t="shared" si="16"/>
        <v>1627.92</v>
      </c>
      <c r="K1382" s="9">
        <f t="array" ref="K1382">QUARTILE(IF($F$3:$F$1460=$F1382,$H$3:$H$1460),1)</f>
        <v>28.484999999999999</v>
      </c>
      <c r="L1382" s="9">
        <f t="array" ref="L1382">QUARTILE(IF($F$3:$F$1460=$F1382,$H$3:$H$1460),2)</f>
        <v>48.75</v>
      </c>
      <c r="M1382" s="9">
        <f t="array" ref="M1382">QUARTILE(IF($F$3:$F$1460=$F1382,$H$3:$H$1460),3)</f>
        <v>71.75</v>
      </c>
    </row>
    <row r="1383" spans="1:13" x14ac:dyDescent="0.25">
      <c r="A1383" s="7">
        <v>1346</v>
      </c>
      <c r="B1383" s="6" t="s">
        <v>1409</v>
      </c>
      <c r="C1383" s="7">
        <v>3852833</v>
      </c>
      <c r="D1383" s="23" t="s">
        <v>1410</v>
      </c>
      <c r="E1383" s="6" t="s">
        <v>1411</v>
      </c>
      <c r="F1383" s="21" t="s">
        <v>14</v>
      </c>
      <c r="G1383" s="6" t="s">
        <v>1427</v>
      </c>
      <c r="H1383" s="22">
        <v>11.58</v>
      </c>
      <c r="I1383" s="9">
        <v>77</v>
      </c>
      <c r="J1383" s="22">
        <f t="shared" si="16"/>
        <v>891.66</v>
      </c>
      <c r="K1383" s="9">
        <f t="array" ref="K1383">QUARTILE(IF($F$3:$F$1460=$F1383,$H$3:$H$1460),1)</f>
        <v>11.58</v>
      </c>
      <c r="L1383" s="9">
        <f t="array" ref="L1383">QUARTILE(IF($F$3:$F$1460=$F1383,$H$3:$H$1460),2)</f>
        <v>11.58</v>
      </c>
      <c r="M1383" s="9">
        <f t="array" ref="M1383">QUARTILE(IF($F$3:$F$1460=$F1383,$H$3:$H$1460),3)</f>
        <v>11.58</v>
      </c>
    </row>
    <row r="1384" spans="1:13" x14ac:dyDescent="0.25">
      <c r="A1384" s="7">
        <v>1347</v>
      </c>
      <c r="B1384" s="6" t="s">
        <v>1409</v>
      </c>
      <c r="C1384" s="7">
        <v>3852833</v>
      </c>
      <c r="D1384" s="23" t="s">
        <v>1410</v>
      </c>
      <c r="E1384" s="6" t="s">
        <v>1411</v>
      </c>
      <c r="F1384" s="21" t="s">
        <v>7</v>
      </c>
      <c r="G1384" s="6" t="s">
        <v>1428</v>
      </c>
      <c r="H1384" s="22">
        <v>6.58</v>
      </c>
      <c r="I1384" s="9">
        <v>61</v>
      </c>
      <c r="J1384" s="22">
        <f t="shared" si="16"/>
        <v>401.38</v>
      </c>
      <c r="K1384" s="9">
        <f t="array" ref="K1384">QUARTILE(IF($F$3:$F$1460=$F1384,$H$3:$H$1460),1)</f>
        <v>4.8</v>
      </c>
      <c r="L1384" s="9">
        <f t="array" ref="L1384">QUARTILE(IF($F$3:$F$1460=$F1384,$H$3:$H$1460),2)</f>
        <v>6.58</v>
      </c>
      <c r="M1384" s="9">
        <f t="array" ref="M1384">QUARTILE(IF($F$3:$F$1460=$F1384,$H$3:$H$1460),3)</f>
        <v>6.9</v>
      </c>
    </row>
    <row r="1385" spans="1:13" x14ac:dyDescent="0.25">
      <c r="A1385" s="7">
        <v>1348</v>
      </c>
      <c r="B1385" s="6" t="s">
        <v>1409</v>
      </c>
      <c r="C1385" s="7">
        <v>3852833</v>
      </c>
      <c r="D1385" s="23" t="s">
        <v>1410</v>
      </c>
      <c r="E1385" s="6" t="s">
        <v>1411</v>
      </c>
      <c r="F1385" s="21" t="s">
        <v>10</v>
      </c>
      <c r="G1385" s="6" t="s">
        <v>1429</v>
      </c>
      <c r="H1385" s="22">
        <v>5.32</v>
      </c>
      <c r="I1385" s="9">
        <v>117</v>
      </c>
      <c r="J1385" s="22">
        <f t="shared" si="16"/>
        <v>622.44000000000005</v>
      </c>
      <c r="K1385" s="9">
        <f t="array" ref="K1385">QUARTILE(IF($F$3:$F$1460=$F1385,$H$3:$H$1460),1)</f>
        <v>7.9050000000000002</v>
      </c>
      <c r="L1385" s="9">
        <f t="array" ref="L1385">QUARTILE(IF($F$3:$F$1460=$F1385,$H$3:$H$1460),2)</f>
        <v>13</v>
      </c>
      <c r="M1385" s="9">
        <f t="array" ref="M1385">QUARTILE(IF($F$3:$F$1460=$F1385,$H$3:$H$1460),3)</f>
        <v>16.75</v>
      </c>
    </row>
    <row r="1386" spans="1:13" x14ac:dyDescent="0.25">
      <c r="A1386" s="7">
        <v>1349</v>
      </c>
      <c r="B1386" s="6" t="s">
        <v>1409</v>
      </c>
      <c r="C1386" s="7">
        <v>3852833</v>
      </c>
      <c r="D1386" s="23" t="s">
        <v>1410</v>
      </c>
      <c r="E1386" s="6" t="s">
        <v>1411</v>
      </c>
      <c r="F1386" s="21" t="s">
        <v>17</v>
      </c>
      <c r="G1386" s="6" t="s">
        <v>1430</v>
      </c>
      <c r="H1386" s="22">
        <v>143.25</v>
      </c>
      <c r="I1386" s="9">
        <v>14</v>
      </c>
      <c r="J1386" s="22">
        <f t="shared" si="16"/>
        <v>2005.5</v>
      </c>
      <c r="K1386" s="9">
        <f t="array" ref="K1386">QUARTILE(IF($F$3:$F$1460=$F1386,$H$3:$H$1460),1)</f>
        <v>17.549999999999997</v>
      </c>
      <c r="L1386" s="9">
        <f t="array" ref="L1386">QUARTILE(IF($F$3:$F$1460=$F1386,$H$3:$H$1460),2)</f>
        <v>275.8</v>
      </c>
      <c r="M1386" s="9">
        <f t="array" ref="M1386">QUARTILE(IF($F$3:$F$1460=$F1386,$H$3:$H$1460),3)</f>
        <v>11191.057499999999</v>
      </c>
    </row>
    <row r="1387" spans="1:13" x14ac:dyDescent="0.25">
      <c r="A1387" s="7">
        <v>1350</v>
      </c>
      <c r="B1387" s="6" t="s">
        <v>1409</v>
      </c>
      <c r="C1387" s="7">
        <v>3852833</v>
      </c>
      <c r="D1387" s="23" t="s">
        <v>1410</v>
      </c>
      <c r="E1387" s="6" t="s">
        <v>1411</v>
      </c>
      <c r="F1387" s="21" t="s">
        <v>16</v>
      </c>
      <c r="G1387" s="6" t="s">
        <v>1431</v>
      </c>
      <c r="H1387" s="22">
        <v>42.79</v>
      </c>
      <c r="I1387" s="9">
        <v>35</v>
      </c>
      <c r="J1387" s="22">
        <f t="shared" si="16"/>
        <v>1497.6499999999999</v>
      </c>
      <c r="K1387" s="9">
        <f t="array" ref="K1387">QUARTILE(IF($F$3:$F$1460=$F1387,$H$3:$H$1460),1)</f>
        <v>14.8</v>
      </c>
      <c r="L1387" s="9">
        <f t="array" ref="L1387">QUARTILE(IF($F$3:$F$1460=$F1387,$H$3:$H$1460),2)</f>
        <v>19.5</v>
      </c>
      <c r="M1387" s="9">
        <f t="array" ref="M1387">QUARTILE(IF($F$3:$F$1460=$F1387,$H$3:$H$1460),3)</f>
        <v>31.25</v>
      </c>
    </row>
    <row r="1388" spans="1:13" x14ac:dyDescent="0.25">
      <c r="A1388" s="7">
        <v>1351</v>
      </c>
      <c r="B1388" s="6" t="s">
        <v>1409</v>
      </c>
      <c r="C1388" s="7">
        <v>3852833</v>
      </c>
      <c r="D1388" s="23" t="s">
        <v>1410</v>
      </c>
      <c r="E1388" s="6" t="s">
        <v>1411</v>
      </c>
      <c r="F1388" s="21" t="s">
        <v>31</v>
      </c>
      <c r="G1388" s="6" t="s">
        <v>1432</v>
      </c>
      <c r="H1388" s="22">
        <v>94.13</v>
      </c>
      <c r="I1388" s="9">
        <v>100</v>
      </c>
      <c r="J1388" s="22">
        <f t="shared" si="16"/>
        <v>9413</v>
      </c>
      <c r="K1388" s="9">
        <f t="array" ref="K1388">QUARTILE(IF($F$3:$F$1460=$F1388,$H$3:$H$1460),1)</f>
        <v>55.5</v>
      </c>
      <c r="L1388" s="9">
        <f t="array" ref="L1388">QUARTILE(IF($F$3:$F$1460=$F1388,$H$3:$H$1460),2)</f>
        <v>91.88</v>
      </c>
      <c r="M1388" s="9">
        <f t="array" ref="M1388">QUARTILE(IF($F$3:$F$1460=$F1388,$H$3:$H$1460),3)</f>
        <v>148.36000000000001</v>
      </c>
    </row>
    <row r="1389" spans="1:13" x14ac:dyDescent="0.25">
      <c r="A1389" s="7">
        <v>1352</v>
      </c>
      <c r="B1389" s="6" t="s">
        <v>1409</v>
      </c>
      <c r="C1389" s="7">
        <v>3852833</v>
      </c>
      <c r="D1389" s="23" t="s">
        <v>1410</v>
      </c>
      <c r="E1389" s="6" t="s">
        <v>1411</v>
      </c>
      <c r="F1389" s="21" t="s">
        <v>8</v>
      </c>
      <c r="G1389" s="6" t="s">
        <v>1433</v>
      </c>
      <c r="H1389" s="22">
        <v>11.82</v>
      </c>
      <c r="I1389" s="9">
        <v>373</v>
      </c>
      <c r="J1389" s="22">
        <f t="shared" si="16"/>
        <v>4408.8599999999997</v>
      </c>
      <c r="K1389" s="9">
        <f t="array" ref="K1389">QUARTILE(IF($F$3:$F$1460=$F1389,$H$3:$H$1460),1)</f>
        <v>4.9000000000000004</v>
      </c>
      <c r="L1389" s="9">
        <f t="array" ref="L1389">QUARTILE(IF($F$3:$F$1460=$F1389,$H$3:$H$1460),2)</f>
        <v>8.4</v>
      </c>
      <c r="M1389" s="9">
        <f t="array" ref="M1389">QUARTILE(IF($F$3:$F$1460=$F1389,$H$3:$H$1460),3)</f>
        <v>14</v>
      </c>
    </row>
    <row r="1390" spans="1:13" x14ac:dyDescent="0.25">
      <c r="A1390" s="7">
        <v>1353</v>
      </c>
      <c r="B1390" s="6" t="s">
        <v>1409</v>
      </c>
      <c r="C1390" s="7">
        <v>3852833</v>
      </c>
      <c r="D1390" s="23" t="s">
        <v>1410</v>
      </c>
      <c r="E1390" s="6" t="s">
        <v>1411</v>
      </c>
      <c r="F1390" s="21" t="s">
        <v>8</v>
      </c>
      <c r="G1390" s="6" t="s">
        <v>1434</v>
      </c>
      <c r="H1390" s="22">
        <v>270</v>
      </c>
      <c r="I1390" s="9">
        <v>44</v>
      </c>
      <c r="J1390" s="22">
        <f t="shared" si="16"/>
        <v>11880</v>
      </c>
      <c r="K1390" s="9">
        <f t="array" ref="K1390">QUARTILE(IF($F$3:$F$1460=$F1390,$H$3:$H$1460),1)</f>
        <v>4.9000000000000004</v>
      </c>
      <c r="L1390" s="9">
        <f t="array" ref="L1390">QUARTILE(IF($F$3:$F$1460=$F1390,$H$3:$H$1460),2)</f>
        <v>8.4</v>
      </c>
      <c r="M1390" s="9">
        <f t="array" ref="M1390">QUARTILE(IF($F$3:$F$1460=$F1390,$H$3:$H$1460),3)</f>
        <v>14</v>
      </c>
    </row>
    <row r="1391" spans="1:13" x14ac:dyDescent="0.25">
      <c r="A1391" s="7">
        <v>1354</v>
      </c>
      <c r="B1391" s="6" t="s">
        <v>1409</v>
      </c>
      <c r="C1391" s="7">
        <v>3852833</v>
      </c>
      <c r="D1391" s="23" t="s">
        <v>1410</v>
      </c>
      <c r="E1391" s="6" t="s">
        <v>1411</v>
      </c>
      <c r="F1391" s="21" t="s">
        <v>12</v>
      </c>
      <c r="G1391" s="6" t="s">
        <v>1435</v>
      </c>
      <c r="H1391" s="22">
        <v>10.119999999999999</v>
      </c>
      <c r="I1391" s="9">
        <v>50</v>
      </c>
      <c r="J1391" s="22">
        <f t="shared" si="16"/>
        <v>505.99999999999994</v>
      </c>
      <c r="K1391" s="9">
        <f t="array" ref="K1391">QUARTILE(IF($F$3:$F$1460=$F1391,$H$3:$H$1460),1)</f>
        <v>10.059999999999999</v>
      </c>
      <c r="L1391" s="9">
        <f t="array" ref="L1391">QUARTILE(IF($F$3:$F$1460=$F1391,$H$3:$H$1460),2)</f>
        <v>22.94</v>
      </c>
      <c r="M1391" s="9">
        <f t="array" ref="M1391">QUARTILE(IF($F$3:$F$1460=$F1391,$H$3:$H$1460),3)</f>
        <v>48.75</v>
      </c>
    </row>
    <row r="1392" spans="1:13" x14ac:dyDescent="0.25">
      <c r="A1392" s="7">
        <v>1355</v>
      </c>
      <c r="B1392" s="6" t="s">
        <v>1409</v>
      </c>
      <c r="C1392" s="7">
        <v>3852833</v>
      </c>
      <c r="D1392" s="23" t="s">
        <v>1410</v>
      </c>
      <c r="E1392" s="6" t="s">
        <v>1411</v>
      </c>
      <c r="F1392" s="21" t="s">
        <v>7</v>
      </c>
      <c r="G1392" s="6" t="s">
        <v>1436</v>
      </c>
      <c r="H1392" s="22">
        <v>4.8</v>
      </c>
      <c r="I1392" s="9">
        <v>65</v>
      </c>
      <c r="J1392" s="22">
        <f t="shared" si="16"/>
        <v>312</v>
      </c>
      <c r="K1392" s="9">
        <f t="array" ref="K1392">QUARTILE(IF($F$3:$F$1460=$F1392,$H$3:$H$1460),1)</f>
        <v>4.8</v>
      </c>
      <c r="L1392" s="9">
        <f t="array" ref="L1392">QUARTILE(IF($F$3:$F$1460=$F1392,$H$3:$H$1460),2)</f>
        <v>6.58</v>
      </c>
      <c r="M1392" s="9">
        <f t="array" ref="M1392">QUARTILE(IF($F$3:$F$1460=$F1392,$H$3:$H$1460),3)</f>
        <v>6.9</v>
      </c>
    </row>
    <row r="1393" spans="1:13" x14ac:dyDescent="0.25">
      <c r="A1393" s="7">
        <v>1356</v>
      </c>
      <c r="B1393" s="6" t="s">
        <v>1409</v>
      </c>
      <c r="C1393" s="7">
        <v>3852833</v>
      </c>
      <c r="D1393" s="23" t="s">
        <v>1410</v>
      </c>
      <c r="E1393" s="6" t="s">
        <v>1411</v>
      </c>
      <c r="F1393" s="21" t="s">
        <v>17</v>
      </c>
      <c r="G1393" s="6" t="s">
        <v>569</v>
      </c>
      <c r="H1393" s="22">
        <v>14.32</v>
      </c>
      <c r="I1393" s="9">
        <v>23</v>
      </c>
      <c r="J1393" s="22">
        <f t="shared" ref="J1393:J1439" si="17">I1393*H1393</f>
        <v>329.36</v>
      </c>
      <c r="K1393" s="9">
        <f t="array" ref="K1393">QUARTILE(IF($F$3:$F$1460=$F1393,$H$3:$H$1460),1)</f>
        <v>17.549999999999997</v>
      </c>
      <c r="L1393" s="9">
        <f t="array" ref="L1393">QUARTILE(IF($F$3:$F$1460=$F1393,$H$3:$H$1460),2)</f>
        <v>275.8</v>
      </c>
      <c r="M1393" s="9">
        <f t="array" ref="M1393">QUARTILE(IF($F$3:$F$1460=$F1393,$H$3:$H$1460),3)</f>
        <v>11191.057499999999</v>
      </c>
    </row>
    <row r="1394" spans="1:13" x14ac:dyDescent="0.25">
      <c r="A1394" s="7">
        <v>1357</v>
      </c>
      <c r="B1394" s="6" t="s">
        <v>1409</v>
      </c>
      <c r="C1394" s="7">
        <v>3852833</v>
      </c>
      <c r="D1394" s="23" t="s">
        <v>1410</v>
      </c>
      <c r="E1394" s="6" t="s">
        <v>1411</v>
      </c>
      <c r="F1394" s="21" t="s">
        <v>31</v>
      </c>
      <c r="G1394" s="6" t="s">
        <v>1437</v>
      </c>
      <c r="H1394" s="22">
        <v>169</v>
      </c>
      <c r="I1394" s="9">
        <v>30</v>
      </c>
      <c r="J1394" s="22">
        <f t="shared" si="17"/>
        <v>5070</v>
      </c>
      <c r="K1394" s="9">
        <f t="array" ref="K1394">QUARTILE(IF($F$3:$F$1460=$F1394,$H$3:$H$1460),1)</f>
        <v>55.5</v>
      </c>
      <c r="L1394" s="9">
        <f t="array" ref="L1394">QUARTILE(IF($F$3:$F$1460=$F1394,$H$3:$H$1460),2)</f>
        <v>91.88</v>
      </c>
      <c r="M1394" s="9">
        <f t="array" ref="M1394">QUARTILE(IF($F$3:$F$1460=$F1394,$H$3:$H$1460),3)</f>
        <v>148.36000000000001</v>
      </c>
    </row>
    <row r="1395" spans="1:13" x14ac:dyDescent="0.25">
      <c r="A1395" s="7">
        <v>1358</v>
      </c>
      <c r="B1395" s="6" t="s">
        <v>1409</v>
      </c>
      <c r="C1395" s="7">
        <v>3852833</v>
      </c>
      <c r="D1395" s="23" t="s">
        <v>1410</v>
      </c>
      <c r="E1395" s="6" t="s">
        <v>1411</v>
      </c>
      <c r="F1395" s="21" t="s">
        <v>31</v>
      </c>
      <c r="G1395" s="6" t="s">
        <v>1438</v>
      </c>
      <c r="H1395" s="22">
        <v>100.95</v>
      </c>
      <c r="I1395" s="9">
        <v>9</v>
      </c>
      <c r="J1395" s="22">
        <f t="shared" si="17"/>
        <v>908.55000000000007</v>
      </c>
      <c r="K1395" s="9">
        <f t="array" ref="K1395">QUARTILE(IF($F$3:$F$1460=$F1395,$H$3:$H$1460),1)</f>
        <v>55.5</v>
      </c>
      <c r="L1395" s="9">
        <f t="array" ref="L1395">QUARTILE(IF($F$3:$F$1460=$F1395,$H$3:$H$1460),2)</f>
        <v>91.88</v>
      </c>
      <c r="M1395" s="9">
        <f t="array" ref="M1395">QUARTILE(IF($F$3:$F$1460=$F1395,$H$3:$H$1460),3)</f>
        <v>148.36000000000001</v>
      </c>
    </row>
    <row r="1396" spans="1:13" x14ac:dyDescent="0.25">
      <c r="A1396" s="7">
        <v>1359</v>
      </c>
      <c r="B1396" s="6" t="s">
        <v>1409</v>
      </c>
      <c r="C1396" s="7">
        <v>3852833</v>
      </c>
      <c r="D1396" s="23" t="s">
        <v>1410</v>
      </c>
      <c r="E1396" s="6" t="s">
        <v>1411</v>
      </c>
      <c r="F1396" s="21" t="s">
        <v>12</v>
      </c>
      <c r="G1396" s="6" t="s">
        <v>1439</v>
      </c>
      <c r="H1396" s="22">
        <v>22.94</v>
      </c>
      <c r="I1396" s="9">
        <v>18</v>
      </c>
      <c r="J1396" s="22">
        <f t="shared" si="17"/>
        <v>412.92</v>
      </c>
      <c r="K1396" s="9">
        <f t="array" ref="K1396">QUARTILE(IF($F$3:$F$1460=$F1396,$H$3:$H$1460),1)</f>
        <v>10.059999999999999</v>
      </c>
      <c r="L1396" s="9">
        <f t="array" ref="L1396">QUARTILE(IF($F$3:$F$1460=$F1396,$H$3:$H$1460),2)</f>
        <v>22.94</v>
      </c>
      <c r="M1396" s="9">
        <f t="array" ref="M1396">QUARTILE(IF($F$3:$F$1460=$F1396,$H$3:$H$1460),3)</f>
        <v>48.75</v>
      </c>
    </row>
    <row r="1397" spans="1:13" x14ac:dyDescent="0.25">
      <c r="A1397" s="7">
        <v>1360</v>
      </c>
      <c r="B1397" s="6" t="s">
        <v>1409</v>
      </c>
      <c r="C1397" s="7">
        <v>3852833</v>
      </c>
      <c r="D1397" s="23" t="s">
        <v>1410</v>
      </c>
      <c r="E1397" s="6" t="s">
        <v>1411</v>
      </c>
      <c r="F1397" s="21" t="s">
        <v>31</v>
      </c>
      <c r="G1397" s="6" t="s">
        <v>1440</v>
      </c>
      <c r="H1397" s="22">
        <v>122.74</v>
      </c>
      <c r="I1397" s="9">
        <v>20</v>
      </c>
      <c r="J1397" s="22">
        <f t="shared" si="17"/>
        <v>2454.7999999999997</v>
      </c>
      <c r="K1397" s="9">
        <f t="array" ref="K1397">QUARTILE(IF($F$3:$F$1460=$F1397,$H$3:$H$1460),1)</f>
        <v>55.5</v>
      </c>
      <c r="L1397" s="9">
        <f t="array" ref="L1397">QUARTILE(IF($F$3:$F$1460=$F1397,$H$3:$H$1460),2)</f>
        <v>91.88</v>
      </c>
      <c r="M1397" s="9">
        <f t="array" ref="M1397">QUARTILE(IF($F$3:$F$1460=$F1397,$H$3:$H$1460),3)</f>
        <v>148.36000000000001</v>
      </c>
    </row>
    <row r="1398" spans="1:13" x14ac:dyDescent="0.25">
      <c r="A1398" s="7">
        <v>1361</v>
      </c>
      <c r="B1398" s="6" t="s">
        <v>1409</v>
      </c>
      <c r="C1398" s="7">
        <v>3852833</v>
      </c>
      <c r="D1398" s="23" t="s">
        <v>1410</v>
      </c>
      <c r="E1398" s="6" t="s">
        <v>1411</v>
      </c>
      <c r="F1398" s="21" t="s">
        <v>25</v>
      </c>
      <c r="G1398" s="6" t="s">
        <v>1441</v>
      </c>
      <c r="H1398" s="22">
        <v>36.81</v>
      </c>
      <c r="I1398" s="9">
        <v>10</v>
      </c>
      <c r="J1398" s="22">
        <f t="shared" si="17"/>
        <v>368.1</v>
      </c>
      <c r="K1398" s="9">
        <f t="array" ref="K1398">QUARTILE(IF($F$3:$F$1460=$F1398,$H$3:$H$1460),1)</f>
        <v>33.465000000000003</v>
      </c>
      <c r="L1398" s="9">
        <f t="array" ref="L1398">QUARTILE(IF($F$3:$F$1460=$F1398,$H$3:$H$1460),2)</f>
        <v>34.58</v>
      </c>
      <c r="M1398" s="9">
        <f t="array" ref="M1398">QUARTILE(IF($F$3:$F$1460=$F1398,$H$3:$H$1460),3)</f>
        <v>35.695</v>
      </c>
    </row>
    <row r="1399" spans="1:13" x14ac:dyDescent="0.25">
      <c r="A1399" s="7">
        <v>1362</v>
      </c>
      <c r="B1399" s="6" t="s">
        <v>1409</v>
      </c>
      <c r="C1399" s="7">
        <v>3852833</v>
      </c>
      <c r="D1399" s="23" t="s">
        <v>1410</v>
      </c>
      <c r="E1399" s="6" t="s">
        <v>1411</v>
      </c>
      <c r="F1399" s="21" t="s">
        <v>10</v>
      </c>
      <c r="G1399" s="6" t="s">
        <v>1442</v>
      </c>
      <c r="H1399" s="22">
        <v>36.94</v>
      </c>
      <c r="I1399" s="9">
        <v>1</v>
      </c>
      <c r="J1399" s="22">
        <f t="shared" si="17"/>
        <v>36.94</v>
      </c>
      <c r="K1399" s="9">
        <f t="array" ref="K1399">QUARTILE(IF($F$3:$F$1460=$F1399,$H$3:$H$1460),1)</f>
        <v>7.9050000000000002</v>
      </c>
      <c r="L1399" s="9">
        <f t="array" ref="L1399">QUARTILE(IF($F$3:$F$1460=$F1399,$H$3:$H$1460),2)</f>
        <v>13</v>
      </c>
      <c r="M1399" s="9">
        <f t="array" ref="M1399">QUARTILE(IF($F$3:$F$1460=$F1399,$H$3:$H$1460),3)</f>
        <v>16.75</v>
      </c>
    </row>
    <row r="1400" spans="1:13" x14ac:dyDescent="0.25">
      <c r="A1400" s="7">
        <v>1363</v>
      </c>
      <c r="B1400" s="6" t="s">
        <v>1409</v>
      </c>
      <c r="C1400" s="7">
        <v>3852833</v>
      </c>
      <c r="D1400" s="23" t="s">
        <v>1410</v>
      </c>
      <c r="E1400" s="6" t="s">
        <v>1411</v>
      </c>
      <c r="F1400" s="21" t="s">
        <v>6</v>
      </c>
      <c r="G1400" s="6" t="s">
        <v>1443</v>
      </c>
      <c r="H1400" s="22">
        <v>10.43</v>
      </c>
      <c r="I1400" s="9">
        <v>10</v>
      </c>
      <c r="J1400" s="22">
        <f t="shared" si="17"/>
        <v>104.3</v>
      </c>
      <c r="K1400" s="9">
        <f t="array" ref="K1400">QUARTILE(IF($F$3:$F$1460=$F1400,$H$3:$H$1460),1)</f>
        <v>4.25</v>
      </c>
      <c r="L1400" s="9">
        <f t="array" ref="L1400">QUARTILE(IF($F$3:$F$1460=$F1400,$H$3:$H$1460),2)</f>
        <v>6.12</v>
      </c>
      <c r="M1400" s="9">
        <f t="array" ref="M1400">QUARTILE(IF($F$3:$F$1460=$F1400,$H$3:$H$1460),3)</f>
        <v>13.55</v>
      </c>
    </row>
    <row r="1401" spans="1:13" x14ac:dyDescent="0.25">
      <c r="A1401" s="7">
        <v>1364</v>
      </c>
      <c r="B1401" s="6" t="s">
        <v>1409</v>
      </c>
      <c r="C1401" s="7">
        <v>3852833</v>
      </c>
      <c r="D1401" s="23" t="s">
        <v>1410</v>
      </c>
      <c r="E1401" s="6" t="s">
        <v>1411</v>
      </c>
      <c r="F1401" s="21" t="s">
        <v>20</v>
      </c>
      <c r="G1401" s="6" t="s">
        <v>1444</v>
      </c>
      <c r="H1401" s="22">
        <v>45.28</v>
      </c>
      <c r="I1401" s="9">
        <v>50</v>
      </c>
      <c r="J1401" s="22">
        <f t="shared" si="17"/>
        <v>2264</v>
      </c>
      <c r="K1401" s="9">
        <f t="array" ref="K1401">QUARTILE(IF($F$3:$F$1460=$F1401,$H$3:$H$1460),1)</f>
        <v>22.082500000000003</v>
      </c>
      <c r="L1401" s="9">
        <f t="array" ref="L1401">QUARTILE(IF($F$3:$F$1460=$F1401,$H$3:$H$1460),2)</f>
        <v>31.15</v>
      </c>
      <c r="M1401" s="9">
        <f t="array" ref="M1401">QUARTILE(IF($F$3:$F$1460=$F1401,$H$3:$H$1460),3)</f>
        <v>48.125</v>
      </c>
    </row>
    <row r="1402" spans="1:13" x14ac:dyDescent="0.25">
      <c r="A1402" s="7">
        <v>1365</v>
      </c>
      <c r="B1402" s="6" t="s">
        <v>1409</v>
      </c>
      <c r="C1402" s="7">
        <v>3852833</v>
      </c>
      <c r="D1402" s="23" t="s">
        <v>1410</v>
      </c>
      <c r="E1402" s="6" t="s">
        <v>1411</v>
      </c>
      <c r="F1402" s="21" t="s">
        <v>20</v>
      </c>
      <c r="G1402" s="6" t="s">
        <v>1445</v>
      </c>
      <c r="H1402" s="22">
        <v>50.74</v>
      </c>
      <c r="I1402" s="9">
        <v>50</v>
      </c>
      <c r="J1402" s="22">
        <f t="shared" si="17"/>
        <v>2537</v>
      </c>
      <c r="K1402" s="9">
        <f t="array" ref="K1402">QUARTILE(IF($F$3:$F$1460=$F1402,$H$3:$H$1460),1)</f>
        <v>22.082500000000003</v>
      </c>
      <c r="L1402" s="9">
        <f t="array" ref="L1402">QUARTILE(IF($F$3:$F$1460=$F1402,$H$3:$H$1460),2)</f>
        <v>31.15</v>
      </c>
      <c r="M1402" s="9">
        <f t="array" ref="M1402">QUARTILE(IF($F$3:$F$1460=$F1402,$H$3:$H$1460),3)</f>
        <v>48.125</v>
      </c>
    </row>
    <row r="1403" spans="1:13" x14ac:dyDescent="0.25">
      <c r="A1403" s="7">
        <v>1366</v>
      </c>
      <c r="B1403" s="6" t="s">
        <v>1409</v>
      </c>
      <c r="C1403" s="7">
        <v>3852833</v>
      </c>
      <c r="D1403" s="23" t="s">
        <v>1410</v>
      </c>
      <c r="E1403" s="6" t="s">
        <v>1411</v>
      </c>
      <c r="F1403" s="21" t="s">
        <v>20</v>
      </c>
      <c r="G1403" s="6" t="s">
        <v>1446</v>
      </c>
      <c r="H1403" s="22">
        <v>379.42</v>
      </c>
      <c r="I1403" s="9">
        <v>24</v>
      </c>
      <c r="J1403" s="22">
        <f t="shared" si="17"/>
        <v>9106.08</v>
      </c>
      <c r="K1403" s="9">
        <f t="array" ref="K1403">QUARTILE(IF($F$3:$F$1460=$F1403,$H$3:$H$1460),1)</f>
        <v>22.082500000000003</v>
      </c>
      <c r="L1403" s="9">
        <f t="array" ref="L1403">QUARTILE(IF($F$3:$F$1460=$F1403,$H$3:$H$1460),2)</f>
        <v>31.15</v>
      </c>
      <c r="M1403" s="9">
        <f t="array" ref="M1403">QUARTILE(IF($F$3:$F$1460=$F1403,$H$3:$H$1460),3)</f>
        <v>48.125</v>
      </c>
    </row>
    <row r="1404" spans="1:13" x14ac:dyDescent="0.25">
      <c r="A1404" s="7">
        <v>1367</v>
      </c>
      <c r="B1404" s="6" t="s">
        <v>1447</v>
      </c>
      <c r="C1404" s="7">
        <v>4310897</v>
      </c>
      <c r="D1404" s="23" t="s">
        <v>1448</v>
      </c>
      <c r="E1404" s="6" t="s">
        <v>1449</v>
      </c>
      <c r="F1404" s="21" t="s">
        <v>75</v>
      </c>
      <c r="G1404" s="45" t="s">
        <v>1450</v>
      </c>
      <c r="H1404" s="22">
        <v>38743.74</v>
      </c>
      <c r="I1404" s="9">
        <v>2</v>
      </c>
      <c r="J1404" s="22">
        <f t="shared" si="17"/>
        <v>77487.48</v>
      </c>
      <c r="K1404" s="9">
        <f t="array" ref="K1404">QUARTILE(IF($F$3:$F$1460=$F1404,$H$3:$H$1460),1)</f>
        <v>7209.15</v>
      </c>
      <c r="L1404" s="9">
        <f t="array" ref="L1404">QUARTILE(IF($F$3:$F$1460=$F1404,$H$3:$H$1460),2)</f>
        <v>15534.78</v>
      </c>
      <c r="M1404" s="9">
        <f t="array" ref="M1404">QUARTILE(IF($F$3:$F$1460=$F1404,$H$3:$H$1460),3)</f>
        <v>29950.799999999999</v>
      </c>
    </row>
    <row r="1405" spans="1:13" x14ac:dyDescent="0.25">
      <c r="A1405" s="7">
        <v>1368</v>
      </c>
      <c r="B1405" s="6" t="s">
        <v>1447</v>
      </c>
      <c r="C1405" s="7">
        <v>4310897</v>
      </c>
      <c r="D1405" s="23" t="s">
        <v>1448</v>
      </c>
      <c r="E1405" s="6" t="s">
        <v>1449</v>
      </c>
      <c r="F1405" s="21" t="s">
        <v>75</v>
      </c>
      <c r="G1405" s="45" t="s">
        <v>1451</v>
      </c>
      <c r="H1405" s="22">
        <v>37561.49</v>
      </c>
      <c r="I1405" s="9">
        <v>1</v>
      </c>
      <c r="J1405" s="22">
        <f t="shared" si="17"/>
        <v>37561.49</v>
      </c>
      <c r="K1405" s="9">
        <f t="array" ref="K1405">QUARTILE(IF($F$3:$F$1460=$F1405,$H$3:$H$1460),1)</f>
        <v>7209.15</v>
      </c>
      <c r="L1405" s="9">
        <f t="array" ref="L1405">QUARTILE(IF($F$3:$F$1460=$F1405,$H$3:$H$1460),2)</f>
        <v>15534.78</v>
      </c>
      <c r="M1405" s="9">
        <f t="array" ref="M1405">QUARTILE(IF($F$3:$F$1460=$F1405,$H$3:$H$1460),3)</f>
        <v>29950.799999999999</v>
      </c>
    </row>
    <row r="1406" spans="1:13" x14ac:dyDescent="0.25">
      <c r="A1406" s="7">
        <v>1369</v>
      </c>
      <c r="B1406" s="6" t="s">
        <v>1447</v>
      </c>
      <c r="C1406" s="7">
        <v>4310897</v>
      </c>
      <c r="D1406" s="23" t="s">
        <v>1448</v>
      </c>
      <c r="E1406" s="6" t="s">
        <v>1449</v>
      </c>
      <c r="F1406" s="21" t="s">
        <v>75</v>
      </c>
      <c r="G1406" s="45" t="s">
        <v>1452</v>
      </c>
      <c r="H1406" s="22">
        <v>21826.880000000001</v>
      </c>
      <c r="I1406" s="9">
        <v>1</v>
      </c>
      <c r="J1406" s="22">
        <f t="shared" si="17"/>
        <v>21826.880000000001</v>
      </c>
      <c r="K1406" s="9">
        <f t="array" ref="K1406">QUARTILE(IF($F$3:$F$1460=$F1406,$H$3:$H$1460),1)</f>
        <v>7209.15</v>
      </c>
      <c r="L1406" s="9">
        <f t="array" ref="L1406">QUARTILE(IF($F$3:$F$1460=$F1406,$H$3:$H$1460),2)</f>
        <v>15534.78</v>
      </c>
      <c r="M1406" s="9">
        <f t="array" ref="M1406">QUARTILE(IF($F$3:$F$1460=$F1406,$H$3:$H$1460),3)</f>
        <v>29950.799999999999</v>
      </c>
    </row>
    <row r="1407" spans="1:13" x14ac:dyDescent="0.25">
      <c r="A1407" s="7">
        <v>1370</v>
      </c>
      <c r="B1407" s="6" t="s">
        <v>1447</v>
      </c>
      <c r="C1407" s="7">
        <v>4310897</v>
      </c>
      <c r="D1407" s="23" t="s">
        <v>1448</v>
      </c>
      <c r="E1407" s="6" t="s">
        <v>1449</v>
      </c>
      <c r="F1407" s="21" t="s">
        <v>77</v>
      </c>
      <c r="G1407" s="6" t="s">
        <v>1453</v>
      </c>
      <c r="H1407" s="22">
        <v>19387.07</v>
      </c>
      <c r="I1407" s="9">
        <v>2</v>
      </c>
      <c r="J1407" s="22">
        <f t="shared" si="17"/>
        <v>38774.14</v>
      </c>
      <c r="K1407" s="9">
        <f t="array" ref="K1407">QUARTILE(IF($F$3:$F$1460=$F1407,$H$3:$H$1460),1)</f>
        <v>12800</v>
      </c>
      <c r="L1407" s="9">
        <f t="array" ref="L1407">QUARTILE(IF($F$3:$F$1460=$F1407,$H$3:$H$1460),2)</f>
        <v>18793.535</v>
      </c>
      <c r="M1407" s="9">
        <f t="array" ref="M1407">QUARTILE(IF($F$3:$F$1460=$F1407,$H$3:$H$1460),3)</f>
        <v>26260.85</v>
      </c>
    </row>
    <row r="1408" spans="1:13" x14ac:dyDescent="0.25">
      <c r="A1408" s="7">
        <v>1371</v>
      </c>
      <c r="B1408" s="6" t="s">
        <v>1447</v>
      </c>
      <c r="C1408" s="7">
        <v>4310897</v>
      </c>
      <c r="D1408" s="23" t="s">
        <v>1448</v>
      </c>
      <c r="E1408" s="6" t="s">
        <v>1449</v>
      </c>
      <c r="F1408" s="21" t="s">
        <v>580</v>
      </c>
      <c r="G1408" s="6" t="s">
        <v>1454</v>
      </c>
      <c r="H1408" s="22">
        <v>45975.09</v>
      </c>
      <c r="I1408" s="9">
        <v>2</v>
      </c>
      <c r="J1408" s="22">
        <f t="shared" si="17"/>
        <v>91950.18</v>
      </c>
      <c r="K1408" s="9">
        <f t="array" ref="K1408">QUARTILE(IF($F$3:$F$1460=$F1408,$H$3:$H$1460),1)</f>
        <v>1759.125</v>
      </c>
      <c r="L1408" s="9">
        <f t="array" ref="L1408">QUARTILE(IF($F$3:$F$1460=$F1408,$H$3:$H$1460),2)</f>
        <v>3923.7249999999999</v>
      </c>
      <c r="M1408" s="9">
        <f t="array" ref="M1408">QUARTILE(IF($F$3:$F$1460=$F1408,$H$3:$H$1460),3)</f>
        <v>12062.504999999999</v>
      </c>
    </row>
    <row r="1409" spans="1:13" x14ac:dyDescent="0.25">
      <c r="A1409" s="7">
        <v>1372</v>
      </c>
      <c r="B1409" s="6" t="s">
        <v>1447</v>
      </c>
      <c r="C1409" s="7">
        <v>4310897</v>
      </c>
      <c r="D1409" s="23" t="s">
        <v>1448</v>
      </c>
      <c r="E1409" s="6" t="s">
        <v>1449</v>
      </c>
      <c r="F1409" s="21" t="s">
        <v>44</v>
      </c>
      <c r="G1409" s="45" t="s">
        <v>1455</v>
      </c>
      <c r="H1409" s="22">
        <v>212.2</v>
      </c>
      <c r="I1409" s="9">
        <v>20</v>
      </c>
      <c r="J1409" s="22">
        <f t="shared" si="17"/>
        <v>4244</v>
      </c>
      <c r="K1409" s="9">
        <f t="array" ref="K1409">QUARTILE(IF($F$3:$F$1460=$F1409,$H$3:$H$1460),1)</f>
        <v>141.67500000000001</v>
      </c>
      <c r="L1409" s="9">
        <f t="array" ref="L1409">QUARTILE(IF($F$3:$F$1460=$F1409,$H$3:$H$1460),2)</f>
        <v>194</v>
      </c>
      <c r="M1409" s="9">
        <f t="array" ref="M1409">QUARTILE(IF($F$3:$F$1460=$F1409,$H$3:$H$1460),3)</f>
        <v>266.75</v>
      </c>
    </row>
    <row r="1410" spans="1:13" ht="18" customHeight="1" x14ac:dyDescent="0.25">
      <c r="A1410" s="7">
        <v>1373</v>
      </c>
      <c r="B1410" s="6" t="s">
        <v>1447</v>
      </c>
      <c r="C1410" s="7">
        <v>4310897</v>
      </c>
      <c r="D1410" s="23" t="s">
        <v>1448</v>
      </c>
      <c r="E1410" s="6" t="s">
        <v>1449</v>
      </c>
      <c r="F1410" s="21" t="s">
        <v>60</v>
      </c>
      <c r="G1410" s="45" t="s">
        <v>1456</v>
      </c>
      <c r="H1410" s="22">
        <v>645.1</v>
      </c>
      <c r="I1410" s="9">
        <v>20</v>
      </c>
      <c r="J1410" s="22">
        <f t="shared" si="17"/>
        <v>12902</v>
      </c>
      <c r="K1410" s="9">
        <f t="array" ref="K1410">QUARTILE(IF($F$3:$F$1460=$F1410,$H$3:$H$1460),1)</f>
        <v>680</v>
      </c>
      <c r="L1410" s="9">
        <f t="array" ref="L1410">QUARTILE(IF($F$3:$F$1460=$F1410,$H$3:$H$1460),2)</f>
        <v>991</v>
      </c>
      <c r="M1410" s="9">
        <f t="array" ref="M1410">QUARTILE(IF($F$3:$F$1460=$F1410,$H$3:$H$1460),3)</f>
        <v>1485.8333333333335</v>
      </c>
    </row>
    <row r="1411" spans="1:13" x14ac:dyDescent="0.25">
      <c r="A1411" s="7">
        <v>1374</v>
      </c>
      <c r="B1411" s="6" t="s">
        <v>1046</v>
      </c>
      <c r="C1411" s="7">
        <v>4200826</v>
      </c>
      <c r="D1411" s="23" t="s">
        <v>1457</v>
      </c>
      <c r="E1411" s="6" t="s">
        <v>1458</v>
      </c>
      <c r="F1411" s="21" t="s">
        <v>62</v>
      </c>
      <c r="G1411" s="6" t="s">
        <v>1459</v>
      </c>
      <c r="H1411" s="22">
        <v>1043</v>
      </c>
      <c r="I1411" s="9">
        <v>120</v>
      </c>
      <c r="J1411" s="22">
        <f t="shared" si="17"/>
        <v>125160</v>
      </c>
      <c r="K1411" s="9">
        <f t="array" ref="K1411">QUARTILE(IF($F$3:$F$1460=$F1411,$H$3:$H$1460),1)</f>
        <v>783.15</v>
      </c>
      <c r="L1411" s="9">
        <f t="array" ref="L1411">QUARTILE(IF($F$3:$F$1460=$F1411,$H$3:$H$1460),2)</f>
        <v>1196.3</v>
      </c>
      <c r="M1411" s="9">
        <f t="array" ref="M1411">QUARTILE(IF($F$3:$F$1460=$F1411,$H$3:$H$1460),3)</f>
        <v>1455.5</v>
      </c>
    </row>
    <row r="1412" spans="1:13" x14ac:dyDescent="0.25">
      <c r="A1412" s="7">
        <v>1375</v>
      </c>
      <c r="B1412" s="6" t="s">
        <v>1046</v>
      </c>
      <c r="C1412" s="7">
        <v>4200826</v>
      </c>
      <c r="D1412" s="23" t="s">
        <v>1457</v>
      </c>
      <c r="E1412" s="6" t="s">
        <v>1458</v>
      </c>
      <c r="F1412" s="21" t="s">
        <v>50</v>
      </c>
      <c r="G1412" s="6" t="s">
        <v>1460</v>
      </c>
      <c r="H1412" s="22">
        <v>1310</v>
      </c>
      <c r="I1412" s="9">
        <v>4</v>
      </c>
      <c r="J1412" s="22">
        <f t="shared" si="17"/>
        <v>5240</v>
      </c>
      <c r="K1412" s="9">
        <f t="array" ref="K1412">QUARTILE(IF($F$3:$F$1460=$F1412,$H$3:$H$1460),1)</f>
        <v>307.64999999999998</v>
      </c>
      <c r="L1412" s="9">
        <f t="array" ref="L1412">QUARTILE(IF($F$3:$F$1460=$F1412,$H$3:$H$1460),2)</f>
        <v>533.63</v>
      </c>
      <c r="M1412" s="9">
        <f t="array" ref="M1412">QUARTILE(IF($F$3:$F$1460=$F1412,$H$3:$H$1460),3)</f>
        <v>761.32</v>
      </c>
    </row>
    <row r="1413" spans="1:13" x14ac:dyDescent="0.25">
      <c r="A1413" s="7">
        <v>1376</v>
      </c>
      <c r="B1413" s="6" t="s">
        <v>1046</v>
      </c>
      <c r="C1413" s="7">
        <v>4200826</v>
      </c>
      <c r="D1413" s="23" t="s">
        <v>1457</v>
      </c>
      <c r="E1413" s="6" t="s">
        <v>1458</v>
      </c>
      <c r="F1413" s="21" t="s">
        <v>60</v>
      </c>
      <c r="G1413" s="45" t="s">
        <v>1461</v>
      </c>
      <c r="H1413" s="22">
        <v>1390</v>
      </c>
      <c r="I1413" s="9">
        <v>41</v>
      </c>
      <c r="J1413" s="22">
        <f t="shared" si="17"/>
        <v>56990</v>
      </c>
      <c r="K1413" s="9">
        <f t="array" ref="K1413">QUARTILE(IF($F$3:$F$1460=$F1413,$H$3:$H$1460),1)</f>
        <v>680</v>
      </c>
      <c r="L1413" s="9">
        <f t="array" ref="L1413">QUARTILE(IF($F$3:$F$1460=$F1413,$H$3:$H$1460),2)</f>
        <v>991</v>
      </c>
      <c r="M1413" s="9">
        <f t="array" ref="M1413">QUARTILE(IF($F$3:$F$1460=$F1413,$H$3:$H$1460),3)</f>
        <v>1485.8333333333335</v>
      </c>
    </row>
    <row r="1414" spans="1:13" x14ac:dyDescent="0.25">
      <c r="A1414" s="7">
        <v>1377</v>
      </c>
      <c r="B1414" s="6" t="s">
        <v>1046</v>
      </c>
      <c r="C1414" s="7">
        <v>4200826</v>
      </c>
      <c r="D1414" s="23" t="s">
        <v>1457</v>
      </c>
      <c r="E1414" s="6" t="s">
        <v>1458</v>
      </c>
      <c r="F1414" s="21" t="s">
        <v>46</v>
      </c>
      <c r="G1414" s="45" t="s">
        <v>1462</v>
      </c>
      <c r="H1414" s="22">
        <v>230</v>
      </c>
      <c r="I1414" s="9">
        <v>100</v>
      </c>
      <c r="J1414" s="22">
        <f t="shared" si="17"/>
        <v>23000</v>
      </c>
      <c r="K1414" s="9">
        <f t="array" ref="K1414">QUARTILE(IF($F$3:$F$1460=$F1414,$H$3:$H$1460),1)</f>
        <v>229.78</v>
      </c>
      <c r="L1414" s="9">
        <f t="array" ref="L1414">QUARTILE(IF($F$3:$F$1460=$F1414,$H$3:$H$1460),2)</f>
        <v>424.2</v>
      </c>
      <c r="M1414" s="9">
        <f t="array" ref="M1414">QUARTILE(IF($F$3:$F$1460=$F1414,$H$3:$H$1460),3)</f>
        <v>1030.3</v>
      </c>
    </row>
    <row r="1415" spans="1:13" x14ac:dyDescent="0.25">
      <c r="A1415" s="7">
        <v>1378</v>
      </c>
      <c r="B1415" s="6" t="s">
        <v>1046</v>
      </c>
      <c r="C1415" s="7">
        <v>4200826</v>
      </c>
      <c r="D1415" s="23" t="s">
        <v>1457</v>
      </c>
      <c r="E1415" s="6" t="s">
        <v>1458</v>
      </c>
      <c r="F1415" s="21" t="s">
        <v>54</v>
      </c>
      <c r="G1415" s="45" t="s">
        <v>1463</v>
      </c>
      <c r="H1415" s="22">
        <v>4025</v>
      </c>
      <c r="I1415" s="9">
        <v>1</v>
      </c>
      <c r="J1415" s="22">
        <f t="shared" si="17"/>
        <v>4025</v>
      </c>
      <c r="K1415" s="9">
        <f t="array" ref="K1415">QUARTILE(IF($F$3:$F$1460=$F1415,$H$3:$H$1460),1)</f>
        <v>393.94499999999999</v>
      </c>
      <c r="L1415" s="9">
        <f t="array" ref="L1415">QUARTILE(IF($F$3:$F$1460=$F1415,$H$3:$H$1460),2)</f>
        <v>710.01499999999999</v>
      </c>
      <c r="M1415" s="9">
        <f t="array" ref="M1415">QUARTILE(IF($F$3:$F$1460=$F1415,$H$3:$H$1460),3)</f>
        <v>2552.0574999999999</v>
      </c>
    </row>
    <row r="1416" spans="1:13" x14ac:dyDescent="0.25">
      <c r="A1416" s="7">
        <v>1379</v>
      </c>
      <c r="B1416" s="6" t="s">
        <v>1046</v>
      </c>
      <c r="C1416" s="7">
        <v>4200826</v>
      </c>
      <c r="D1416" s="23" t="s">
        <v>1457</v>
      </c>
      <c r="E1416" s="6" t="s">
        <v>1458</v>
      </c>
      <c r="F1416" s="21" t="s">
        <v>54</v>
      </c>
      <c r="G1416" s="45" t="s">
        <v>1464</v>
      </c>
      <c r="H1416" s="22">
        <v>5940</v>
      </c>
      <c r="I1416" s="9">
        <v>10</v>
      </c>
      <c r="J1416" s="22">
        <f t="shared" si="17"/>
        <v>59400</v>
      </c>
      <c r="K1416" s="9">
        <f t="array" ref="K1416">QUARTILE(IF($F$3:$F$1460=$F1416,$H$3:$H$1460),1)</f>
        <v>393.94499999999999</v>
      </c>
      <c r="L1416" s="9">
        <f t="array" ref="L1416">QUARTILE(IF($F$3:$F$1460=$F1416,$H$3:$H$1460),2)</f>
        <v>710.01499999999999</v>
      </c>
      <c r="M1416" s="9">
        <f t="array" ref="M1416">QUARTILE(IF($F$3:$F$1460=$F1416,$H$3:$H$1460),3)</f>
        <v>2552.0574999999999</v>
      </c>
    </row>
    <row r="1417" spans="1:13" x14ac:dyDescent="0.25">
      <c r="A1417" s="7">
        <v>1380</v>
      </c>
      <c r="B1417" s="6" t="s">
        <v>1046</v>
      </c>
      <c r="C1417" s="7">
        <v>4200826</v>
      </c>
      <c r="D1417" s="23" t="s">
        <v>1457</v>
      </c>
      <c r="E1417" s="6" t="s">
        <v>1458</v>
      </c>
      <c r="F1417" s="21" t="s">
        <v>35</v>
      </c>
      <c r="G1417" s="6" t="s">
        <v>1465</v>
      </c>
      <c r="H1417" s="22">
        <v>112</v>
      </c>
      <c r="I1417" s="9">
        <v>5</v>
      </c>
      <c r="J1417" s="22">
        <f t="shared" si="17"/>
        <v>560</v>
      </c>
      <c r="K1417" s="9">
        <f t="array" ref="K1417">QUARTILE(IF($F$3:$F$1460=$F1417,$H$3:$H$1460),1)</f>
        <v>78.449999999999989</v>
      </c>
      <c r="L1417" s="9">
        <f t="array" ref="L1417">QUARTILE(IF($F$3:$F$1460=$F1417,$H$3:$H$1460),2)</f>
        <v>112</v>
      </c>
      <c r="M1417" s="9">
        <f t="array" ref="M1417">QUARTILE(IF($F$3:$F$1460=$F1417,$H$3:$H$1460),3)</f>
        <v>146</v>
      </c>
    </row>
    <row r="1418" spans="1:13" x14ac:dyDescent="0.25">
      <c r="A1418" s="7">
        <v>1381</v>
      </c>
      <c r="B1418" s="6" t="s">
        <v>1466</v>
      </c>
      <c r="C1418" s="7">
        <v>5048484</v>
      </c>
      <c r="D1418" s="23" t="s">
        <v>1467</v>
      </c>
      <c r="E1418" s="6" t="s">
        <v>1468</v>
      </c>
      <c r="F1418" s="21" t="s">
        <v>75</v>
      </c>
      <c r="G1418" s="45" t="s">
        <v>1469</v>
      </c>
      <c r="H1418" s="22">
        <v>25544.44</v>
      </c>
      <c r="I1418" s="9">
        <v>6</v>
      </c>
      <c r="J1418" s="22">
        <f t="shared" si="17"/>
        <v>153266.63999999998</v>
      </c>
      <c r="K1418" s="9">
        <f t="array" ref="K1418">QUARTILE(IF($F$3:$F$1460=$F1418,$H$3:$H$1460),1)</f>
        <v>7209.15</v>
      </c>
      <c r="L1418" s="9">
        <f t="array" ref="L1418">QUARTILE(IF($F$3:$F$1460=$F1418,$H$3:$H$1460),2)</f>
        <v>15534.78</v>
      </c>
      <c r="M1418" s="9">
        <f t="array" ref="M1418">QUARTILE(IF($F$3:$F$1460=$F1418,$H$3:$H$1460),3)</f>
        <v>29950.799999999999</v>
      </c>
    </row>
    <row r="1419" spans="1:13" x14ac:dyDescent="0.25">
      <c r="A1419" s="7">
        <v>1382</v>
      </c>
      <c r="B1419" s="6" t="s">
        <v>1470</v>
      </c>
      <c r="C1419" s="7">
        <v>4376282</v>
      </c>
      <c r="D1419" s="23" t="s">
        <v>1471</v>
      </c>
      <c r="E1419" s="6" t="s">
        <v>1472</v>
      </c>
      <c r="F1419" s="21" t="s">
        <v>60</v>
      </c>
      <c r="G1419" s="45" t="s">
        <v>1473</v>
      </c>
      <c r="H1419" s="22">
        <v>3316</v>
      </c>
      <c r="I1419" s="9">
        <v>18</v>
      </c>
      <c r="J1419" s="22">
        <f t="shared" si="17"/>
        <v>59688</v>
      </c>
      <c r="K1419" s="9">
        <f t="array" ref="K1419">QUARTILE(IF($F$3:$F$1460=$F1419,$H$3:$H$1460),1)</f>
        <v>680</v>
      </c>
      <c r="L1419" s="9">
        <f t="array" ref="L1419">QUARTILE(IF($F$3:$F$1460=$F1419,$H$3:$H$1460),2)</f>
        <v>991</v>
      </c>
      <c r="M1419" s="9">
        <f t="array" ref="M1419">QUARTILE(IF($F$3:$F$1460=$F1419,$H$3:$H$1460),3)</f>
        <v>1485.8333333333335</v>
      </c>
    </row>
    <row r="1420" spans="1:13" x14ac:dyDescent="0.25">
      <c r="A1420" s="7">
        <v>1383</v>
      </c>
      <c r="B1420" s="6" t="s">
        <v>1470</v>
      </c>
      <c r="C1420" s="7">
        <v>4376282</v>
      </c>
      <c r="D1420" s="23" t="s">
        <v>1471</v>
      </c>
      <c r="E1420" s="6" t="s">
        <v>1472</v>
      </c>
      <c r="F1420" s="21" t="s">
        <v>62</v>
      </c>
      <c r="G1420" s="6" t="s">
        <v>1474</v>
      </c>
      <c r="H1420" s="22">
        <v>1582</v>
      </c>
      <c r="I1420" s="9">
        <v>9</v>
      </c>
      <c r="J1420" s="22">
        <f t="shared" si="17"/>
        <v>14238</v>
      </c>
      <c r="K1420" s="9">
        <f t="array" ref="K1420">QUARTILE(IF($F$3:$F$1460=$F1420,$H$3:$H$1460),1)</f>
        <v>783.15</v>
      </c>
      <c r="L1420" s="9">
        <f t="array" ref="L1420">QUARTILE(IF($F$3:$F$1460=$F1420,$H$3:$H$1460),2)</f>
        <v>1196.3</v>
      </c>
      <c r="M1420" s="9">
        <f t="array" ref="M1420">QUARTILE(IF($F$3:$F$1460=$F1420,$H$3:$H$1460),3)</f>
        <v>1455.5</v>
      </c>
    </row>
    <row r="1421" spans="1:13" x14ac:dyDescent="0.25">
      <c r="A1421" s="7">
        <v>1384</v>
      </c>
      <c r="B1421" s="6" t="s">
        <v>1470</v>
      </c>
      <c r="C1421" s="7">
        <v>4376282</v>
      </c>
      <c r="D1421" s="23" t="s">
        <v>1471</v>
      </c>
      <c r="E1421" s="6" t="s">
        <v>1472</v>
      </c>
      <c r="F1421" s="21" t="s">
        <v>44</v>
      </c>
      <c r="G1421" s="45" t="s">
        <v>1475</v>
      </c>
      <c r="H1421" s="22">
        <v>524</v>
      </c>
      <c r="I1421" s="9">
        <v>18</v>
      </c>
      <c r="J1421" s="22">
        <f t="shared" si="17"/>
        <v>9432</v>
      </c>
      <c r="K1421" s="9">
        <f t="array" ref="K1421">QUARTILE(IF($F$3:$F$1460=$F1421,$H$3:$H$1460),1)</f>
        <v>141.67500000000001</v>
      </c>
      <c r="L1421" s="9">
        <f t="array" ref="L1421">QUARTILE(IF($F$3:$F$1460=$F1421,$H$3:$H$1460),2)</f>
        <v>194</v>
      </c>
      <c r="M1421" s="9">
        <f t="array" ref="M1421">QUARTILE(IF($F$3:$F$1460=$F1421,$H$3:$H$1460),3)</f>
        <v>266.75</v>
      </c>
    </row>
    <row r="1422" spans="1:13" x14ac:dyDescent="0.25">
      <c r="A1422" s="7">
        <v>1385</v>
      </c>
      <c r="B1422" s="6" t="s">
        <v>1470</v>
      </c>
      <c r="C1422" s="7">
        <v>4376282</v>
      </c>
      <c r="D1422" s="23" t="s">
        <v>1471</v>
      </c>
      <c r="E1422" s="6" t="s">
        <v>1472</v>
      </c>
      <c r="F1422" s="21" t="s">
        <v>11</v>
      </c>
      <c r="G1422" s="6" t="s">
        <v>1476</v>
      </c>
      <c r="H1422" s="22">
        <v>100</v>
      </c>
      <c r="I1422" s="9">
        <v>11</v>
      </c>
      <c r="J1422" s="22">
        <f t="shared" si="17"/>
        <v>1100</v>
      </c>
      <c r="K1422" s="9">
        <f t="array" ref="K1422">QUARTILE(IF($F$3:$F$1460=$F1422,$H$3:$H$1460),1)</f>
        <v>9.8249999999999993</v>
      </c>
      <c r="L1422" s="9">
        <f t="array" ref="L1422">QUARTILE(IF($F$3:$F$1460=$F1422,$H$3:$H$1460),2)</f>
        <v>21.14</v>
      </c>
      <c r="M1422" s="9">
        <f t="array" ref="M1422">QUARTILE(IF($F$3:$F$1460=$F1422,$H$3:$H$1460),3)</f>
        <v>248.75</v>
      </c>
    </row>
    <row r="1423" spans="1:13" x14ac:dyDescent="0.25">
      <c r="A1423" s="7">
        <v>1386</v>
      </c>
      <c r="B1423" s="6" t="s">
        <v>1470</v>
      </c>
      <c r="C1423" s="7">
        <v>4376282</v>
      </c>
      <c r="D1423" s="23" t="s">
        <v>1471</v>
      </c>
      <c r="E1423" s="6" t="s">
        <v>1472</v>
      </c>
      <c r="F1423" s="21" t="s">
        <v>41</v>
      </c>
      <c r="G1423" s="45" t="s">
        <v>1477</v>
      </c>
      <c r="H1423" s="22">
        <v>757</v>
      </c>
      <c r="I1423" s="9">
        <v>50</v>
      </c>
      <c r="J1423" s="22">
        <f t="shared" si="17"/>
        <v>37850</v>
      </c>
      <c r="K1423" s="9">
        <f t="array" ref="K1423">QUARTILE(IF($F$3:$F$1460=$F1423,$H$3:$H$1460),1)</f>
        <v>112.19999999999999</v>
      </c>
      <c r="L1423" s="9">
        <f t="array" ref="L1423">QUARTILE(IF($F$3:$F$1460=$F1423,$H$3:$H$1460),2)</f>
        <v>252</v>
      </c>
      <c r="M1423" s="9">
        <f t="array" ref="M1423">QUARTILE(IF($F$3:$F$1460=$F1423,$H$3:$H$1460),3)</f>
        <v>2310</v>
      </c>
    </row>
    <row r="1424" spans="1:13" x14ac:dyDescent="0.25">
      <c r="A1424" s="7">
        <v>1387</v>
      </c>
      <c r="B1424" s="6" t="s">
        <v>1470</v>
      </c>
      <c r="C1424" s="7">
        <v>4376282</v>
      </c>
      <c r="D1424" s="23" t="s">
        <v>1471</v>
      </c>
      <c r="E1424" s="6" t="s">
        <v>1472</v>
      </c>
      <c r="F1424" s="21" t="s">
        <v>65</v>
      </c>
      <c r="G1424" s="45" t="s">
        <v>1478</v>
      </c>
      <c r="H1424" s="22">
        <v>5700</v>
      </c>
      <c r="I1424" s="9">
        <v>1</v>
      </c>
      <c r="J1424" s="22">
        <f t="shared" si="17"/>
        <v>5700</v>
      </c>
      <c r="K1424" s="9">
        <f t="array" ref="K1424">QUARTILE(IF($F$3:$F$1460=$F1424,$H$3:$H$1460),1)</f>
        <v>1383.98</v>
      </c>
      <c r="L1424" s="9">
        <f t="array" ref="L1424">QUARTILE(IF($F$3:$F$1460=$F1424,$H$3:$H$1460),2)</f>
        <v>1866.7</v>
      </c>
      <c r="M1424" s="9">
        <f t="array" ref="M1424">QUARTILE(IF($F$3:$F$1460=$F1424,$H$3:$H$1460),3)</f>
        <v>4574.5833333333339</v>
      </c>
    </row>
    <row r="1425" spans="1:13" x14ac:dyDescent="0.25">
      <c r="A1425" s="7">
        <v>1388</v>
      </c>
      <c r="B1425" s="6" t="s">
        <v>1479</v>
      </c>
      <c r="C1425" s="7">
        <v>6063028</v>
      </c>
      <c r="D1425" s="23" t="s">
        <v>1480</v>
      </c>
      <c r="E1425" s="6" t="s">
        <v>1481</v>
      </c>
      <c r="F1425" s="21" t="s">
        <v>580</v>
      </c>
      <c r="G1425" s="6" t="s">
        <v>1482</v>
      </c>
      <c r="H1425" s="22">
        <f>5912+227.9</f>
        <v>6139.9</v>
      </c>
      <c r="I1425" s="9">
        <v>9</v>
      </c>
      <c r="J1425" s="22">
        <f t="shared" si="17"/>
        <v>55259.1</v>
      </c>
      <c r="K1425" s="9">
        <f t="array" ref="K1425">QUARTILE(IF($F$3:$F$1460=$F1425,$H$3:$H$1460),1)</f>
        <v>1759.125</v>
      </c>
      <c r="L1425" s="9">
        <f t="array" ref="L1425">QUARTILE(IF($F$3:$F$1460=$F1425,$H$3:$H$1460),2)</f>
        <v>3923.7249999999999</v>
      </c>
      <c r="M1425" s="9">
        <f t="array" ref="M1425">QUARTILE(IF($F$3:$F$1460=$F1425,$H$3:$H$1460),3)</f>
        <v>12062.504999999999</v>
      </c>
    </row>
    <row r="1426" spans="1:13" x14ac:dyDescent="0.25">
      <c r="A1426" s="7">
        <v>1389</v>
      </c>
      <c r="B1426" s="6" t="s">
        <v>1479</v>
      </c>
      <c r="C1426" s="7">
        <v>6063028</v>
      </c>
      <c r="D1426" s="23" t="s">
        <v>1480</v>
      </c>
      <c r="E1426" s="6" t="s">
        <v>1481</v>
      </c>
      <c r="F1426" s="21" t="s">
        <v>17</v>
      </c>
      <c r="G1426" s="6" t="s">
        <v>1483</v>
      </c>
      <c r="H1426" s="22">
        <v>764.8</v>
      </c>
      <c r="I1426" s="9">
        <v>9</v>
      </c>
      <c r="J1426" s="22">
        <f t="shared" si="17"/>
        <v>6883.2</v>
      </c>
      <c r="K1426" s="9">
        <f t="array" ref="K1426">QUARTILE(IF($F$3:$F$1460=$F1426,$H$3:$H$1460),1)</f>
        <v>17.549999999999997</v>
      </c>
      <c r="L1426" s="9">
        <f t="array" ref="L1426">QUARTILE(IF($F$3:$F$1460=$F1426,$H$3:$H$1460),2)</f>
        <v>275.8</v>
      </c>
      <c r="M1426" s="9">
        <f t="array" ref="M1426">QUARTILE(IF($F$3:$F$1460=$F1426,$H$3:$H$1460),3)</f>
        <v>11191.057499999999</v>
      </c>
    </row>
    <row r="1427" spans="1:13" x14ac:dyDescent="0.25">
      <c r="A1427" s="7">
        <v>1390</v>
      </c>
      <c r="B1427" s="6" t="s">
        <v>1479</v>
      </c>
      <c r="C1427" s="7">
        <v>6063028</v>
      </c>
      <c r="D1427" s="23" t="s">
        <v>1480</v>
      </c>
      <c r="E1427" s="6" t="s">
        <v>1481</v>
      </c>
      <c r="F1427" s="21" t="s">
        <v>17</v>
      </c>
      <c r="G1427" s="6" t="s">
        <v>1484</v>
      </c>
      <c r="H1427" s="22">
        <v>351.6</v>
      </c>
      <c r="I1427" s="9">
        <v>12</v>
      </c>
      <c r="J1427" s="22">
        <f t="shared" si="17"/>
        <v>4219.2000000000007</v>
      </c>
      <c r="K1427" s="9">
        <f t="array" ref="K1427">QUARTILE(IF($F$3:$F$1460=$F1427,$H$3:$H$1460),1)</f>
        <v>17.549999999999997</v>
      </c>
      <c r="L1427" s="9">
        <f t="array" ref="L1427">QUARTILE(IF($F$3:$F$1460=$F1427,$H$3:$H$1460),2)</f>
        <v>275.8</v>
      </c>
      <c r="M1427" s="9">
        <f t="array" ref="M1427">QUARTILE(IF($F$3:$F$1460=$F1427,$H$3:$H$1460),3)</f>
        <v>11191.057499999999</v>
      </c>
    </row>
    <row r="1428" spans="1:13" x14ac:dyDescent="0.25">
      <c r="A1428" s="7">
        <v>1391</v>
      </c>
      <c r="B1428" s="6" t="s">
        <v>1479</v>
      </c>
      <c r="C1428" s="7">
        <v>6063028</v>
      </c>
      <c r="D1428" s="23" t="s">
        <v>1480</v>
      </c>
      <c r="E1428" s="6" t="s">
        <v>1481</v>
      </c>
      <c r="F1428" s="21" t="s">
        <v>17</v>
      </c>
      <c r="G1428" s="6" t="s">
        <v>1485</v>
      </c>
      <c r="H1428" s="22">
        <v>13.9</v>
      </c>
      <c r="I1428" s="9">
        <v>25</v>
      </c>
      <c r="J1428" s="22">
        <f t="shared" si="17"/>
        <v>347.5</v>
      </c>
      <c r="K1428" s="9">
        <f t="array" ref="K1428">QUARTILE(IF($F$3:$F$1460=$F1428,$H$3:$H$1460),1)</f>
        <v>17.549999999999997</v>
      </c>
      <c r="L1428" s="9">
        <f t="array" ref="L1428">QUARTILE(IF($F$3:$F$1460=$F1428,$H$3:$H$1460),2)</f>
        <v>275.8</v>
      </c>
      <c r="M1428" s="9">
        <f t="array" ref="M1428">QUARTILE(IF($F$3:$F$1460=$F1428,$H$3:$H$1460),3)</f>
        <v>11191.057499999999</v>
      </c>
    </row>
    <row r="1429" spans="1:13" x14ac:dyDescent="0.25">
      <c r="A1429" s="7">
        <v>1392</v>
      </c>
      <c r="B1429" s="6" t="s">
        <v>1479</v>
      </c>
      <c r="C1429" s="7">
        <v>6063028</v>
      </c>
      <c r="D1429" s="23" t="s">
        <v>1480</v>
      </c>
      <c r="E1429" s="6" t="s">
        <v>1481</v>
      </c>
      <c r="F1429" s="21" t="s">
        <v>28</v>
      </c>
      <c r="G1429" s="6" t="s">
        <v>1486</v>
      </c>
      <c r="H1429" s="22">
        <v>206.5</v>
      </c>
      <c r="I1429" s="9">
        <v>9</v>
      </c>
      <c r="J1429" s="22">
        <f t="shared" si="17"/>
        <v>1858.5</v>
      </c>
      <c r="K1429" s="9">
        <f t="array" ref="K1429">QUARTILE(IF($F$3:$F$1460=$F1429,$H$3:$H$1460),1)</f>
        <v>40.5</v>
      </c>
      <c r="L1429" s="9">
        <f t="array" ref="L1429">QUARTILE(IF($F$3:$F$1460=$F1429,$H$3:$H$1460),2)</f>
        <v>43.39</v>
      </c>
      <c r="M1429" s="9">
        <f t="array" ref="M1429">QUARTILE(IF($F$3:$F$1460=$F1429,$H$3:$H$1460),3)</f>
        <v>69.25</v>
      </c>
    </row>
    <row r="1430" spans="1:13" x14ac:dyDescent="0.25">
      <c r="A1430" s="7">
        <v>1393</v>
      </c>
      <c r="B1430" s="6" t="s">
        <v>1479</v>
      </c>
      <c r="C1430" s="7">
        <v>6063028</v>
      </c>
      <c r="D1430" s="23" t="s">
        <v>1480</v>
      </c>
      <c r="E1430" s="6" t="s">
        <v>1481</v>
      </c>
      <c r="F1430" s="21" t="s">
        <v>36</v>
      </c>
      <c r="G1430" s="6" t="s">
        <v>1487</v>
      </c>
      <c r="H1430" s="22">
        <f>716.1+88.6</f>
        <v>804.7</v>
      </c>
      <c r="I1430" s="9">
        <v>22</v>
      </c>
      <c r="J1430" s="22">
        <f t="shared" si="17"/>
        <v>17703.400000000001</v>
      </c>
      <c r="K1430" s="9">
        <f t="array" ref="K1430">QUARTILE(IF($F$3:$F$1460=$F1430,$H$3:$H$1460),1)</f>
        <v>88.21</v>
      </c>
      <c r="L1430" s="9">
        <f t="array" ref="L1430">QUARTILE(IF($F$3:$F$1460=$F1430,$H$3:$H$1460),2)</f>
        <v>134.57</v>
      </c>
      <c r="M1430" s="9">
        <f t="array" ref="M1430">QUARTILE(IF($F$3:$F$1460=$F1430,$H$3:$H$1460),3)</f>
        <v>252.7</v>
      </c>
    </row>
    <row r="1431" spans="1:13" x14ac:dyDescent="0.25">
      <c r="A1431" s="7">
        <v>1394</v>
      </c>
      <c r="B1431" s="6" t="s">
        <v>1479</v>
      </c>
      <c r="C1431" s="7">
        <v>6063028</v>
      </c>
      <c r="D1431" s="23" t="s">
        <v>1480</v>
      </c>
      <c r="E1431" s="6" t="s">
        <v>1481</v>
      </c>
      <c r="F1431" s="21" t="s">
        <v>78</v>
      </c>
      <c r="G1431" s="6" t="s">
        <v>1488</v>
      </c>
      <c r="H1431" s="22">
        <v>17235.3</v>
      </c>
      <c r="I1431" s="9">
        <v>1</v>
      </c>
      <c r="J1431" s="22">
        <f t="shared" si="17"/>
        <v>17235.3</v>
      </c>
      <c r="K1431" s="9">
        <f t="array" ref="K1431">QUARTILE(IF($F$3:$F$1460=$F1431,$H$3:$H$1460),1)</f>
        <v>17235.3</v>
      </c>
      <c r="L1431" s="9">
        <f t="array" ref="L1431">QUARTILE(IF($F$3:$F$1460=$F1431,$H$3:$H$1460),2)</f>
        <v>17235.3</v>
      </c>
      <c r="M1431" s="9">
        <f t="array" ref="M1431">QUARTILE(IF($F$3:$F$1460=$F1431,$H$3:$H$1460),3)</f>
        <v>17235.3</v>
      </c>
    </row>
    <row r="1432" spans="1:13" x14ac:dyDescent="0.25">
      <c r="A1432" s="7">
        <v>1395</v>
      </c>
      <c r="B1432" s="6" t="s">
        <v>1489</v>
      </c>
      <c r="C1432" s="7">
        <v>5982785</v>
      </c>
      <c r="D1432" s="23" t="s">
        <v>1490</v>
      </c>
      <c r="E1432" s="6" t="s">
        <v>1491</v>
      </c>
      <c r="F1432" s="21" t="s">
        <v>60</v>
      </c>
      <c r="G1432" s="45" t="s">
        <v>1492</v>
      </c>
      <c r="H1432" s="22">
        <v>1100</v>
      </c>
      <c r="I1432" s="9">
        <v>100</v>
      </c>
      <c r="J1432" s="22">
        <f t="shared" si="17"/>
        <v>110000</v>
      </c>
      <c r="K1432" s="9">
        <f t="array" ref="K1432">QUARTILE(IF($F$3:$F$1460=$F1432,$H$3:$H$1460),1)</f>
        <v>680</v>
      </c>
      <c r="L1432" s="9">
        <f t="array" ref="L1432">QUARTILE(IF($F$3:$F$1460=$F1432,$H$3:$H$1460),2)</f>
        <v>991</v>
      </c>
      <c r="M1432" s="9">
        <f t="array" ref="M1432">QUARTILE(IF($F$3:$F$1460=$F1432,$H$3:$H$1460),3)</f>
        <v>1485.8333333333335</v>
      </c>
    </row>
    <row r="1433" spans="1:13" x14ac:dyDescent="0.25">
      <c r="A1433" s="7">
        <v>1396</v>
      </c>
      <c r="B1433" s="6" t="s">
        <v>1489</v>
      </c>
      <c r="C1433" s="7">
        <v>5982785</v>
      </c>
      <c r="D1433" s="23" t="s">
        <v>1490</v>
      </c>
      <c r="E1433" s="6" t="s">
        <v>1491</v>
      </c>
      <c r="F1433" s="21" t="s">
        <v>56</v>
      </c>
      <c r="G1433" s="6" t="s">
        <v>1493</v>
      </c>
      <c r="H1433" s="22">
        <v>750</v>
      </c>
      <c r="I1433" s="9">
        <v>100</v>
      </c>
      <c r="J1433" s="22">
        <f t="shared" si="17"/>
        <v>75000</v>
      </c>
      <c r="K1433" s="9">
        <f t="array" ref="K1433">QUARTILE(IF($F$3:$F$1460=$F1433,$H$3:$H$1460),1)</f>
        <v>506.75</v>
      </c>
      <c r="L1433" s="9">
        <f t="array" ref="L1433">QUARTILE(IF($F$3:$F$1460=$F1433,$H$3:$H$1460),2)</f>
        <v>654.5</v>
      </c>
      <c r="M1433" s="9">
        <f t="array" ref="M1433">QUARTILE(IF($F$3:$F$1460=$F1433,$H$3:$H$1460),3)</f>
        <v>796.25</v>
      </c>
    </row>
    <row r="1434" spans="1:13" x14ac:dyDescent="0.25">
      <c r="A1434" s="7">
        <v>1397</v>
      </c>
      <c r="B1434" s="6" t="s">
        <v>1489</v>
      </c>
      <c r="C1434" s="7">
        <v>5982785</v>
      </c>
      <c r="D1434" s="23" t="s">
        <v>1490</v>
      </c>
      <c r="E1434" s="6" t="s">
        <v>1491</v>
      </c>
      <c r="F1434" s="21" t="s">
        <v>35</v>
      </c>
      <c r="G1434" s="6" t="s">
        <v>1494</v>
      </c>
      <c r="H1434" s="22">
        <v>180</v>
      </c>
      <c r="I1434" s="9">
        <v>100</v>
      </c>
      <c r="J1434" s="22">
        <f t="shared" si="17"/>
        <v>18000</v>
      </c>
      <c r="K1434" s="9">
        <f t="array" ref="K1434">QUARTILE(IF($F$3:$F$1460=$F1434,$H$3:$H$1460),1)</f>
        <v>78.449999999999989</v>
      </c>
      <c r="L1434" s="9">
        <f t="array" ref="L1434">QUARTILE(IF($F$3:$F$1460=$F1434,$H$3:$H$1460),2)</f>
        <v>112</v>
      </c>
      <c r="M1434" s="9">
        <f t="array" ref="M1434">QUARTILE(IF($F$3:$F$1460=$F1434,$H$3:$H$1460),3)</f>
        <v>146</v>
      </c>
    </row>
    <row r="1435" spans="1:13" x14ac:dyDescent="0.25">
      <c r="A1435" s="7">
        <v>1398</v>
      </c>
      <c r="B1435" s="6" t="s">
        <v>1489</v>
      </c>
      <c r="C1435" s="7">
        <v>5982785</v>
      </c>
      <c r="D1435" s="23" t="s">
        <v>1490</v>
      </c>
      <c r="E1435" s="6" t="s">
        <v>1491</v>
      </c>
      <c r="F1435" s="21" t="s">
        <v>69</v>
      </c>
      <c r="G1435" s="6" t="s">
        <v>1495</v>
      </c>
      <c r="H1435" s="22">
        <v>2080</v>
      </c>
      <c r="I1435" s="9">
        <v>100</v>
      </c>
      <c r="J1435" s="22">
        <f t="shared" si="17"/>
        <v>208000</v>
      </c>
      <c r="K1435" s="9">
        <f t="array" ref="K1435">QUARTILE(IF($F$3:$F$1460=$F1435,$H$3:$H$1460),1)</f>
        <v>2080</v>
      </c>
      <c r="L1435" s="9">
        <f t="array" ref="L1435">QUARTILE(IF($F$3:$F$1460=$F1435,$H$3:$H$1460),2)</f>
        <v>2080</v>
      </c>
      <c r="M1435" s="9">
        <f t="array" ref="M1435">QUARTILE(IF($F$3:$F$1460=$F1435,$H$3:$H$1460),3)</f>
        <v>2080</v>
      </c>
    </row>
    <row r="1436" spans="1:13" x14ac:dyDescent="0.25">
      <c r="A1436" s="7">
        <v>1399</v>
      </c>
      <c r="B1436" s="6" t="s">
        <v>1489</v>
      </c>
      <c r="C1436" s="7">
        <v>5982785</v>
      </c>
      <c r="D1436" s="23" t="s">
        <v>1490</v>
      </c>
      <c r="E1436" s="6" t="s">
        <v>1491</v>
      </c>
      <c r="F1436" s="21" t="s">
        <v>17</v>
      </c>
      <c r="G1436" s="6" t="s">
        <v>1496</v>
      </c>
      <c r="H1436" s="22">
        <v>400</v>
      </c>
      <c r="I1436" s="9">
        <v>100</v>
      </c>
      <c r="J1436" s="22">
        <f t="shared" si="17"/>
        <v>40000</v>
      </c>
      <c r="K1436" s="9">
        <f t="array" ref="K1436">QUARTILE(IF($F$3:$F$1460=$F1436,$H$3:$H$1460),1)</f>
        <v>17.549999999999997</v>
      </c>
      <c r="L1436" s="9">
        <f t="array" ref="L1436">QUARTILE(IF($F$3:$F$1460=$F1436,$H$3:$H$1460),2)</f>
        <v>275.8</v>
      </c>
      <c r="M1436" s="9">
        <f t="array" ref="M1436">QUARTILE(IF($F$3:$F$1460=$F1436,$H$3:$H$1460),3)</f>
        <v>11191.057499999999</v>
      </c>
    </row>
    <row r="1437" spans="1:13" x14ac:dyDescent="0.25">
      <c r="A1437" s="7">
        <v>1400</v>
      </c>
      <c r="B1437" s="6" t="s">
        <v>1489</v>
      </c>
      <c r="C1437" s="7">
        <v>5982785</v>
      </c>
      <c r="D1437" s="23" t="s">
        <v>1490</v>
      </c>
      <c r="E1437" s="6" t="s">
        <v>1491</v>
      </c>
      <c r="F1437" s="21" t="s">
        <v>52</v>
      </c>
      <c r="G1437" s="6" t="s">
        <v>1497</v>
      </c>
      <c r="H1437" s="22">
        <v>350</v>
      </c>
      <c r="I1437" s="9">
        <v>100</v>
      </c>
      <c r="J1437" s="22">
        <f t="shared" si="17"/>
        <v>35000</v>
      </c>
      <c r="K1437" s="9">
        <f t="array" ref="K1437">QUARTILE(IF($F$3:$F$1460=$F1437,$H$3:$H$1460),1)</f>
        <v>350</v>
      </c>
      <c r="L1437" s="9">
        <f t="array" ref="L1437">QUARTILE(IF($F$3:$F$1460=$F1437,$H$3:$H$1460),2)</f>
        <v>350</v>
      </c>
      <c r="M1437" s="9">
        <f t="array" ref="M1437">QUARTILE(IF($F$3:$F$1460=$F1437,$H$3:$H$1460),3)</f>
        <v>350</v>
      </c>
    </row>
    <row r="1438" spans="1:13" ht="14.45" customHeight="1" x14ac:dyDescent="0.25">
      <c r="A1438" s="7">
        <v>1401</v>
      </c>
      <c r="B1438" s="6" t="s">
        <v>1489</v>
      </c>
      <c r="C1438" s="7">
        <v>5982785</v>
      </c>
      <c r="D1438" s="23" t="s">
        <v>1490</v>
      </c>
      <c r="E1438" s="6" t="s">
        <v>1491</v>
      </c>
      <c r="F1438" s="21" t="s">
        <v>17</v>
      </c>
      <c r="G1438" s="6" t="s">
        <v>1498</v>
      </c>
      <c r="H1438" s="22">
        <v>170</v>
      </c>
      <c r="I1438" s="9">
        <v>40</v>
      </c>
      <c r="J1438" s="22">
        <f t="shared" si="17"/>
        <v>6800</v>
      </c>
      <c r="K1438" s="9">
        <f t="array" ref="K1438">QUARTILE(IF($F$3:$F$1460=$F1438,$H$3:$H$1460),1)</f>
        <v>17.549999999999997</v>
      </c>
      <c r="L1438" s="9">
        <f t="array" ref="L1438">QUARTILE(IF($F$3:$F$1460=$F1438,$H$3:$H$1460),2)</f>
        <v>275.8</v>
      </c>
      <c r="M1438" s="9">
        <f t="array" ref="M1438">QUARTILE(IF($F$3:$F$1460=$F1438,$H$3:$H$1460),3)</f>
        <v>11191.057499999999</v>
      </c>
    </row>
    <row r="1439" spans="1:13" ht="15" customHeight="1" x14ac:dyDescent="0.25">
      <c r="A1439" s="7">
        <v>1402</v>
      </c>
      <c r="B1439" s="6" t="s">
        <v>1499</v>
      </c>
      <c r="C1439" s="4">
        <v>3990748</v>
      </c>
      <c r="D1439" s="23" t="s">
        <v>1500</v>
      </c>
      <c r="E1439" s="6" t="s">
        <v>1501</v>
      </c>
      <c r="F1439" s="21" t="s">
        <v>54</v>
      </c>
      <c r="G1439" s="74" t="s">
        <v>1502</v>
      </c>
      <c r="H1439" s="22">
        <v>2193.1</v>
      </c>
      <c r="I1439" s="9">
        <v>2000</v>
      </c>
      <c r="J1439" s="22">
        <f t="shared" si="17"/>
        <v>4386200</v>
      </c>
      <c r="K1439" s="9">
        <f t="array" ref="K1439">QUARTILE(IF($F$3:$F$1460=$F1439,$H$3:$H$1460),1)</f>
        <v>393.94499999999999</v>
      </c>
      <c r="L1439" s="9">
        <f t="array" ref="L1439">QUARTILE(IF($F$3:$F$1460=$F1439,$H$3:$H$1460),2)</f>
        <v>710.01499999999999</v>
      </c>
      <c r="M1439" s="9">
        <f t="array" ref="M1439">QUARTILE(IF($F$3:$F$1460=$F1439,$H$3:$H$1460),3)</f>
        <v>2552.0574999999999</v>
      </c>
    </row>
    <row r="1440" spans="1:13" ht="15" customHeight="1" x14ac:dyDescent="0.25">
      <c r="A1440" s="7">
        <v>1403</v>
      </c>
      <c r="B1440" s="38" t="s">
        <v>1292</v>
      </c>
      <c r="C1440" s="39">
        <v>4313122</v>
      </c>
      <c r="D1440" s="40" t="str">
        <f t="shared" ref="D1440:D1460" si="18">IF(VALUE(LEFT(TEXT(C1440,"####0000"),1))&lt;5,"https://crz.gov.sk/" &amp; C1440,"https://crz.gov.sk/zmluva/" &amp; C1440)</f>
        <v>https://crz.gov.sk/4313122</v>
      </c>
      <c r="E1440" s="41" t="s">
        <v>1294</v>
      </c>
      <c r="F1440" s="42" t="s">
        <v>60</v>
      </c>
      <c r="G1440" s="74" t="s">
        <v>1503</v>
      </c>
      <c r="H1440" s="22">
        <v>5451</v>
      </c>
      <c r="I1440" s="9">
        <v>6</v>
      </c>
      <c r="J1440" s="22">
        <f>H1440*I1440*1.2</f>
        <v>39247.199999999997</v>
      </c>
      <c r="K1440" s="9">
        <f t="array" ref="K1440">QUARTILE(IF($F$3:$F$1460=$F1440,$H$3:$H$1460),1)</f>
        <v>680</v>
      </c>
      <c r="L1440" s="9">
        <f t="array" ref="L1440">QUARTILE(IF($F$3:$F$1460=$F1440,$H$3:$H$1460),2)</f>
        <v>991</v>
      </c>
      <c r="M1440" s="9">
        <f t="array" ref="M1440">QUARTILE(IF($F$3:$F$1460=$F1440,$H$3:$H$1460),3)</f>
        <v>1485.8333333333335</v>
      </c>
    </row>
    <row r="1441" spans="1:13" ht="15.75" customHeight="1" x14ac:dyDescent="0.25">
      <c r="A1441" s="7">
        <v>1404</v>
      </c>
      <c r="B1441" s="38" t="s">
        <v>1292</v>
      </c>
      <c r="C1441" s="39">
        <v>4313122</v>
      </c>
      <c r="D1441" s="40" t="str">
        <f t="shared" si="18"/>
        <v>https://crz.gov.sk/4313122</v>
      </c>
      <c r="E1441" s="41" t="s">
        <v>1294</v>
      </c>
      <c r="F1441" s="43" t="s">
        <v>60</v>
      </c>
      <c r="G1441" s="74" t="s">
        <v>1504</v>
      </c>
      <c r="H1441" s="22">
        <v>1018</v>
      </c>
      <c r="I1441" s="4">
        <v>150</v>
      </c>
      <c r="J1441" s="22">
        <f>H1441*I1441*1.2</f>
        <v>183240</v>
      </c>
      <c r="K1441" s="9">
        <f t="array" ref="K1441">QUARTILE(IF($F$3:$F$1460=$F1441,$H$3:$H$1460),1)</f>
        <v>680</v>
      </c>
      <c r="L1441" s="9">
        <f t="array" ref="L1441">QUARTILE(IF($F$3:$F$1460=$F1441,$H$3:$H$1460),2)</f>
        <v>991</v>
      </c>
      <c r="M1441" s="9">
        <f t="array" ref="M1441">QUARTILE(IF($F$3:$F$1460=$F1441,$H$3:$H$1460),3)</f>
        <v>1485.8333333333335</v>
      </c>
    </row>
    <row r="1442" spans="1:13" x14ac:dyDescent="0.25">
      <c r="A1442" s="7">
        <v>1405</v>
      </c>
      <c r="B1442" s="38" t="s">
        <v>1292</v>
      </c>
      <c r="C1442" s="39">
        <v>4313122</v>
      </c>
      <c r="D1442" s="40" t="str">
        <f t="shared" si="18"/>
        <v>https://crz.gov.sk/4313122</v>
      </c>
      <c r="E1442" s="41" t="s">
        <v>1294</v>
      </c>
      <c r="F1442" s="44" t="s">
        <v>54</v>
      </c>
      <c r="G1442" s="74" t="s">
        <v>1505</v>
      </c>
      <c r="H1442" s="22">
        <v>2620</v>
      </c>
      <c r="I1442" s="4">
        <v>8</v>
      </c>
      <c r="J1442" s="22">
        <f t="shared" ref="J1442:J1460" si="19">H1442*I1442*1.2</f>
        <v>25152</v>
      </c>
      <c r="K1442" s="9">
        <f t="array" ref="K1442">QUARTILE(IF($F$3:$F$1460=$F1442,$H$3:$H$1460),1)</f>
        <v>393.94499999999999</v>
      </c>
      <c r="L1442" s="9">
        <f t="array" ref="L1442">QUARTILE(IF($F$3:$F$1460=$F1442,$H$3:$H$1460),2)</f>
        <v>710.01499999999999</v>
      </c>
      <c r="M1442" s="9">
        <f t="array" ref="M1442">QUARTILE(IF($F$3:$F$1460=$F1442,$H$3:$H$1460),3)</f>
        <v>2552.0574999999999</v>
      </c>
    </row>
    <row r="1443" spans="1:13" ht="14.45" customHeight="1" x14ac:dyDescent="0.25">
      <c r="A1443" s="7">
        <v>1406</v>
      </c>
      <c r="B1443" s="38" t="s">
        <v>1292</v>
      </c>
      <c r="C1443" s="39">
        <v>4313122</v>
      </c>
      <c r="D1443" s="40" t="str">
        <f t="shared" si="18"/>
        <v>https://crz.gov.sk/4313122</v>
      </c>
      <c r="E1443" s="41" t="s">
        <v>1294</v>
      </c>
      <c r="F1443" s="42" t="s">
        <v>60</v>
      </c>
      <c r="G1443" s="74" t="s">
        <v>1506</v>
      </c>
      <c r="H1443" s="22">
        <v>1829</v>
      </c>
      <c r="I1443" s="4">
        <v>4</v>
      </c>
      <c r="J1443" s="22">
        <f t="shared" si="19"/>
        <v>8779.1999999999989</v>
      </c>
      <c r="K1443" s="9">
        <f t="array" ref="K1443">QUARTILE(IF($F$3:$F$1460=$F1443,$H$3:$H$1460),1)</f>
        <v>680</v>
      </c>
      <c r="L1443" s="9">
        <f t="array" ref="L1443">QUARTILE(IF($F$3:$F$1460=$F1443,$H$3:$H$1460),2)</f>
        <v>991</v>
      </c>
      <c r="M1443" s="9">
        <f t="array" ref="M1443">QUARTILE(IF($F$3:$F$1460=$F1443,$H$3:$H$1460),3)</f>
        <v>1485.8333333333335</v>
      </c>
    </row>
    <row r="1444" spans="1:13" x14ac:dyDescent="0.25">
      <c r="A1444" s="7">
        <v>1407</v>
      </c>
      <c r="B1444" s="38" t="s">
        <v>1292</v>
      </c>
      <c r="C1444" s="39">
        <v>4313122</v>
      </c>
      <c r="D1444" s="40" t="str">
        <f t="shared" si="18"/>
        <v>https://crz.gov.sk/4313122</v>
      </c>
      <c r="E1444" s="41" t="s">
        <v>1294</v>
      </c>
      <c r="F1444" s="43" t="s">
        <v>46</v>
      </c>
      <c r="G1444" s="74" t="s">
        <v>1507</v>
      </c>
      <c r="H1444" s="22">
        <v>3000</v>
      </c>
      <c r="I1444" s="4">
        <v>2</v>
      </c>
      <c r="J1444" s="22">
        <f t="shared" si="19"/>
        <v>7200</v>
      </c>
      <c r="K1444" s="9">
        <f t="array" ref="K1444">QUARTILE(IF($F$3:$F$1460=$F1444,$H$3:$H$1460),1)</f>
        <v>229.78</v>
      </c>
      <c r="L1444" s="9">
        <f t="array" ref="L1444">QUARTILE(IF($F$3:$F$1460=$F1444,$H$3:$H$1460),2)</f>
        <v>424.2</v>
      </c>
      <c r="M1444" s="9">
        <f t="array" ref="M1444">QUARTILE(IF($F$3:$F$1460=$F1444,$H$3:$H$1460),3)</f>
        <v>1030.3</v>
      </c>
    </row>
    <row r="1445" spans="1:13" ht="16.5" customHeight="1" x14ac:dyDescent="0.25">
      <c r="A1445" s="7">
        <v>1408</v>
      </c>
      <c r="B1445" s="38" t="s">
        <v>1292</v>
      </c>
      <c r="C1445" s="39">
        <v>4313122</v>
      </c>
      <c r="D1445" s="40" t="str">
        <f t="shared" si="18"/>
        <v>https://crz.gov.sk/4313122</v>
      </c>
      <c r="E1445" s="41" t="s">
        <v>1294</v>
      </c>
      <c r="F1445" s="43" t="s">
        <v>62</v>
      </c>
      <c r="G1445" s="74" t="s">
        <v>1508</v>
      </c>
      <c r="H1445" s="22">
        <v>1290</v>
      </c>
      <c r="I1445" s="4">
        <v>6</v>
      </c>
      <c r="J1445" s="22">
        <f t="shared" si="19"/>
        <v>9288</v>
      </c>
      <c r="K1445" s="9">
        <f t="array" ref="K1445">QUARTILE(IF($F$3:$F$1460=$F1445,$H$3:$H$1460),1)</f>
        <v>783.15</v>
      </c>
      <c r="L1445" s="9">
        <f t="array" ref="L1445">QUARTILE(IF($F$3:$F$1460=$F1445,$H$3:$H$1460),2)</f>
        <v>1196.3</v>
      </c>
      <c r="M1445" s="9">
        <f t="array" ref="M1445">QUARTILE(IF($F$3:$F$1460=$F1445,$H$3:$H$1460),3)</f>
        <v>1455.5</v>
      </c>
    </row>
    <row r="1446" spans="1:13" x14ac:dyDescent="0.25">
      <c r="A1446" s="7">
        <v>1409</v>
      </c>
      <c r="B1446" s="38" t="s">
        <v>1292</v>
      </c>
      <c r="C1446" s="39">
        <v>4313122</v>
      </c>
      <c r="D1446" s="40" t="str">
        <f t="shared" si="18"/>
        <v>https://crz.gov.sk/4313122</v>
      </c>
      <c r="E1446" s="41" t="s">
        <v>1294</v>
      </c>
      <c r="F1446" s="43" t="s">
        <v>61</v>
      </c>
      <c r="G1446" s="74" t="s">
        <v>1509</v>
      </c>
      <c r="H1446" s="22">
        <v>1000</v>
      </c>
      <c r="I1446" s="4">
        <v>1</v>
      </c>
      <c r="J1446" s="22">
        <f t="shared" si="19"/>
        <v>1200</v>
      </c>
      <c r="K1446" s="9">
        <f t="array" ref="K1446">QUARTILE(IF($F$3:$F$1460=$F1446,$H$3:$H$1460),1)</f>
        <v>709.95</v>
      </c>
      <c r="L1446" s="9">
        <f t="array" ref="L1446">QUARTILE(IF($F$3:$F$1460=$F1446,$H$3:$H$1460),2)</f>
        <v>1000</v>
      </c>
      <c r="M1446" s="9">
        <f t="array" ref="M1446">QUARTILE(IF($F$3:$F$1460=$F1446,$H$3:$H$1460),3)</f>
        <v>5171.4583333333339</v>
      </c>
    </row>
    <row r="1447" spans="1:13" x14ac:dyDescent="0.25">
      <c r="A1447" s="7">
        <v>1410</v>
      </c>
      <c r="B1447" s="38" t="s">
        <v>1292</v>
      </c>
      <c r="C1447" s="39">
        <v>4313122</v>
      </c>
      <c r="D1447" s="40" t="str">
        <f t="shared" si="18"/>
        <v>https://crz.gov.sk/4313122</v>
      </c>
      <c r="E1447" s="41" t="s">
        <v>1294</v>
      </c>
      <c r="F1447" s="43" t="s">
        <v>70</v>
      </c>
      <c r="G1447" s="74" t="s">
        <v>1510</v>
      </c>
      <c r="H1447" s="22">
        <v>2700</v>
      </c>
      <c r="I1447" s="4">
        <v>1</v>
      </c>
      <c r="J1447" s="22">
        <f t="shared" si="19"/>
        <v>3240</v>
      </c>
      <c r="K1447" s="9">
        <f t="array" ref="K1447">QUARTILE(IF($F$3:$F$1460=$F1447,$H$3:$H$1460),1)</f>
        <v>2700</v>
      </c>
      <c r="L1447" s="9">
        <f t="array" ref="L1447">QUARTILE(IF($F$3:$F$1460=$F1447,$H$3:$H$1460),2)</f>
        <v>2700</v>
      </c>
      <c r="M1447" s="9">
        <f t="array" ref="M1447">QUARTILE(IF($F$3:$F$1460=$F1447,$H$3:$H$1460),3)</f>
        <v>2750</v>
      </c>
    </row>
    <row r="1448" spans="1:13" x14ac:dyDescent="0.25">
      <c r="A1448" s="7">
        <v>1411</v>
      </c>
      <c r="B1448" s="6" t="s">
        <v>1511</v>
      </c>
      <c r="C1448" s="4">
        <v>5252229</v>
      </c>
      <c r="D1448" s="23" t="str">
        <f t="shared" si="18"/>
        <v>https://crz.gov.sk/zmluva/5252229</v>
      </c>
      <c r="E1448" s="45" t="s">
        <v>1512</v>
      </c>
      <c r="F1448" s="44" t="s">
        <v>31</v>
      </c>
      <c r="G1448" s="74" t="s">
        <v>1513</v>
      </c>
      <c r="H1448" s="46">
        <v>1265</v>
      </c>
      <c r="I1448" s="4">
        <v>37</v>
      </c>
      <c r="J1448" s="22">
        <f t="shared" si="19"/>
        <v>56166</v>
      </c>
      <c r="K1448" s="9">
        <f t="array" ref="K1448">QUARTILE(IF($F$3:$F$1460=$F1448,$H$3:$H$1460),1)</f>
        <v>55.5</v>
      </c>
      <c r="L1448" s="9">
        <f t="array" ref="L1448">QUARTILE(IF($F$3:$F$1460=$F1448,$H$3:$H$1460),2)</f>
        <v>91.88</v>
      </c>
      <c r="M1448" s="9">
        <f t="array" ref="M1448">QUARTILE(IF($F$3:$F$1460=$F1448,$H$3:$H$1460),3)</f>
        <v>148.36000000000001</v>
      </c>
    </row>
    <row r="1449" spans="1:13" x14ac:dyDescent="0.25">
      <c r="A1449" s="7">
        <v>1412</v>
      </c>
      <c r="B1449" s="6" t="s">
        <v>1511</v>
      </c>
      <c r="C1449" s="4">
        <v>5252229</v>
      </c>
      <c r="D1449" s="23" t="str">
        <f t="shared" si="18"/>
        <v>https://crz.gov.sk/zmluva/5252229</v>
      </c>
      <c r="E1449" s="45" t="s">
        <v>1512</v>
      </c>
      <c r="F1449" s="44" t="s">
        <v>39</v>
      </c>
      <c r="G1449" s="74" t="s">
        <v>1514</v>
      </c>
      <c r="H1449" s="47">
        <v>4040</v>
      </c>
      <c r="I1449" s="4">
        <v>2</v>
      </c>
      <c r="J1449" s="22">
        <f t="shared" si="19"/>
        <v>9696</v>
      </c>
      <c r="K1449" s="9">
        <f t="array" ref="K1449">QUARTILE(IF($F$3:$F$1460=$F1449,$H$3:$H$1460),1)</f>
        <v>98.7</v>
      </c>
      <c r="L1449" s="9">
        <f t="array" ref="L1449">QUARTILE(IF($F$3:$F$1460=$F1449,$H$3:$H$1460),2)</f>
        <v>172.56</v>
      </c>
      <c r="M1449" s="9">
        <f t="array" ref="M1449">QUARTILE(IF($F$3:$F$1460=$F1449,$H$3:$H$1460),3)</f>
        <v>2312.5</v>
      </c>
    </row>
    <row r="1450" spans="1:13" x14ac:dyDescent="0.25">
      <c r="A1450" s="7">
        <v>1413</v>
      </c>
      <c r="B1450" s="6" t="s">
        <v>1511</v>
      </c>
      <c r="C1450" s="4">
        <v>5252229</v>
      </c>
      <c r="D1450" s="23" t="str">
        <f t="shared" si="18"/>
        <v>https://crz.gov.sk/zmluva/5252229</v>
      </c>
      <c r="E1450" s="45" t="s">
        <v>1512</v>
      </c>
      <c r="F1450" s="44" t="s">
        <v>17</v>
      </c>
      <c r="G1450" s="74" t="s">
        <v>1515</v>
      </c>
      <c r="H1450" s="46">
        <v>785</v>
      </c>
      <c r="I1450" s="4">
        <v>4</v>
      </c>
      <c r="J1450" s="22">
        <f t="shared" si="19"/>
        <v>3768</v>
      </c>
      <c r="K1450" s="9">
        <f t="array" ref="K1450">QUARTILE(IF($F$3:$F$1460=$F1450,$H$3:$H$1460),1)</f>
        <v>17.549999999999997</v>
      </c>
      <c r="L1450" s="9">
        <f t="array" ref="L1450">QUARTILE(IF($F$3:$F$1460=$F1450,$H$3:$H$1460),2)</f>
        <v>275.8</v>
      </c>
      <c r="M1450" s="9">
        <f t="array" ref="M1450">QUARTILE(IF($F$3:$F$1460=$F1450,$H$3:$H$1460),3)</f>
        <v>11191.057499999999</v>
      </c>
    </row>
    <row r="1451" spans="1:13" x14ac:dyDescent="0.25">
      <c r="A1451" s="7">
        <v>1415</v>
      </c>
      <c r="B1451" s="6" t="s">
        <v>1511</v>
      </c>
      <c r="C1451" s="4">
        <v>5252229</v>
      </c>
      <c r="D1451" s="23" t="str">
        <f t="shared" si="18"/>
        <v>https://crz.gov.sk/zmluva/5252229</v>
      </c>
      <c r="E1451" s="45" t="s">
        <v>1512</v>
      </c>
      <c r="F1451" s="44" t="s">
        <v>31</v>
      </c>
      <c r="G1451" s="74" t="s">
        <v>1516</v>
      </c>
      <c r="H1451" s="47">
        <v>692.5</v>
      </c>
      <c r="I1451" s="4">
        <v>12</v>
      </c>
      <c r="J1451" s="22">
        <f t="shared" si="19"/>
        <v>9972</v>
      </c>
      <c r="K1451" s="9">
        <f t="array" ref="K1451">QUARTILE(IF($F$3:$F$1460=$F1451,$H$3:$H$1460),1)</f>
        <v>55.5</v>
      </c>
      <c r="L1451" s="9">
        <f t="array" ref="L1451">QUARTILE(IF($F$3:$F$1460=$F1451,$H$3:$H$1460),2)</f>
        <v>91.88</v>
      </c>
      <c r="M1451" s="9">
        <f t="array" ref="M1451">QUARTILE(IF($F$3:$F$1460=$F1451,$H$3:$H$1460),3)</f>
        <v>148.36000000000001</v>
      </c>
    </row>
    <row r="1452" spans="1:13" x14ac:dyDescent="0.25">
      <c r="A1452" s="7">
        <v>1416</v>
      </c>
      <c r="B1452" s="6" t="s">
        <v>1511</v>
      </c>
      <c r="C1452" s="4">
        <v>5252229</v>
      </c>
      <c r="D1452" s="23" t="str">
        <f t="shared" si="18"/>
        <v>https://crz.gov.sk/zmluva/5252229</v>
      </c>
      <c r="E1452" s="45" t="s">
        <v>1512</v>
      </c>
      <c r="F1452" s="44" t="s">
        <v>31</v>
      </c>
      <c r="G1452" s="74" t="s">
        <v>1517</v>
      </c>
      <c r="H1452" s="46">
        <v>1265</v>
      </c>
      <c r="I1452" s="4">
        <v>37</v>
      </c>
      <c r="J1452" s="22">
        <f t="shared" si="19"/>
        <v>56166</v>
      </c>
      <c r="K1452" s="9">
        <f t="array" ref="K1452">QUARTILE(IF($F$3:$F$1460=$F1452,$H$3:$H$1460),1)</f>
        <v>55.5</v>
      </c>
      <c r="L1452" s="9">
        <f t="array" ref="L1452">QUARTILE(IF($F$3:$F$1460=$F1452,$H$3:$H$1460),2)</f>
        <v>91.88</v>
      </c>
      <c r="M1452" s="9">
        <f t="array" ref="M1452">QUARTILE(IF($F$3:$F$1460=$F1452,$H$3:$H$1460),3)</f>
        <v>148.36000000000001</v>
      </c>
    </row>
    <row r="1453" spans="1:13" x14ac:dyDescent="0.25">
      <c r="A1453" s="7">
        <v>1417</v>
      </c>
      <c r="B1453" s="6" t="s">
        <v>1511</v>
      </c>
      <c r="C1453" s="4">
        <v>5252229</v>
      </c>
      <c r="D1453" s="23" t="str">
        <f t="shared" si="18"/>
        <v>https://crz.gov.sk/zmluva/5252229</v>
      </c>
      <c r="E1453" s="45" t="s">
        <v>1512</v>
      </c>
      <c r="F1453" s="44" t="s">
        <v>39</v>
      </c>
      <c r="G1453" s="74" t="s">
        <v>1518</v>
      </c>
      <c r="H1453" s="47">
        <v>4040</v>
      </c>
      <c r="I1453" s="4">
        <v>2</v>
      </c>
      <c r="J1453" s="22">
        <f t="shared" si="19"/>
        <v>9696</v>
      </c>
      <c r="K1453" s="9">
        <f t="array" ref="K1453">QUARTILE(IF($F$3:$F$1460=$F1453,$H$3:$H$1460),1)</f>
        <v>98.7</v>
      </c>
      <c r="L1453" s="9">
        <f t="array" ref="L1453">QUARTILE(IF($F$3:$F$1460=$F1453,$H$3:$H$1460),2)</f>
        <v>172.56</v>
      </c>
      <c r="M1453" s="9">
        <f t="array" ref="M1453">QUARTILE(IF($F$3:$F$1460=$F1453,$H$3:$H$1460),3)</f>
        <v>2312.5</v>
      </c>
    </row>
    <row r="1454" spans="1:13" x14ac:dyDescent="0.25">
      <c r="A1454" s="7">
        <v>1418</v>
      </c>
      <c r="B1454" s="6" t="s">
        <v>1511</v>
      </c>
      <c r="C1454" s="4">
        <v>5252229</v>
      </c>
      <c r="D1454" s="23" t="str">
        <f t="shared" si="18"/>
        <v>https://crz.gov.sk/zmluva/5252229</v>
      </c>
      <c r="E1454" s="45" t="s">
        <v>1512</v>
      </c>
      <c r="F1454" s="44" t="s">
        <v>17</v>
      </c>
      <c r="G1454" s="74" t="s">
        <v>1519</v>
      </c>
      <c r="H1454" s="46">
        <v>520</v>
      </c>
      <c r="I1454" s="4">
        <v>41</v>
      </c>
      <c r="J1454" s="22">
        <f t="shared" si="19"/>
        <v>25584</v>
      </c>
      <c r="K1454" s="9">
        <f t="array" ref="K1454">QUARTILE(IF($F$3:$F$1460=$F1454,$H$3:$H$1460),1)</f>
        <v>17.549999999999997</v>
      </c>
      <c r="L1454" s="9">
        <f t="array" ref="L1454">QUARTILE(IF($F$3:$F$1460=$F1454,$H$3:$H$1460),2)</f>
        <v>275.8</v>
      </c>
      <c r="M1454" s="9">
        <f t="array" ref="M1454">QUARTILE(IF($F$3:$F$1460=$F1454,$H$3:$H$1460),3)</f>
        <v>11191.057499999999</v>
      </c>
    </row>
    <row r="1455" spans="1:13" x14ac:dyDescent="0.25">
      <c r="A1455" s="7">
        <v>1419</v>
      </c>
      <c r="B1455" s="6" t="s">
        <v>1511</v>
      </c>
      <c r="C1455" s="4">
        <v>5252229</v>
      </c>
      <c r="D1455" s="23" t="str">
        <f t="shared" si="18"/>
        <v>https://crz.gov.sk/zmluva/5252229</v>
      </c>
      <c r="E1455" s="45" t="s">
        <v>1512</v>
      </c>
      <c r="F1455" s="44" t="s">
        <v>31</v>
      </c>
      <c r="G1455" s="74" t="s">
        <v>1520</v>
      </c>
      <c r="H1455" s="46">
        <v>4335</v>
      </c>
      <c r="I1455" s="4">
        <v>1</v>
      </c>
      <c r="J1455" s="22">
        <f t="shared" si="19"/>
        <v>5202</v>
      </c>
      <c r="K1455" s="9">
        <f t="array" ref="K1455">QUARTILE(IF($F$3:$F$1460=$F1455,$H$3:$H$1460),1)</f>
        <v>55.5</v>
      </c>
      <c r="L1455" s="9">
        <f t="array" ref="L1455">QUARTILE(IF($F$3:$F$1460=$F1455,$H$3:$H$1460),2)</f>
        <v>91.88</v>
      </c>
      <c r="M1455" s="9">
        <f t="array" ref="M1455">QUARTILE(IF($F$3:$F$1460=$F1455,$H$3:$H$1460),3)</f>
        <v>148.36000000000001</v>
      </c>
    </row>
    <row r="1456" spans="1:13" x14ac:dyDescent="0.25">
      <c r="A1456" s="7">
        <v>1420</v>
      </c>
      <c r="B1456" s="6" t="s">
        <v>1511</v>
      </c>
      <c r="C1456" s="4">
        <v>5252229</v>
      </c>
      <c r="D1456" s="23" t="str">
        <f t="shared" si="18"/>
        <v>https://crz.gov.sk/zmluva/5252229</v>
      </c>
      <c r="E1456" s="45" t="s">
        <v>1512</v>
      </c>
      <c r="F1456" s="44" t="s">
        <v>54</v>
      </c>
      <c r="G1456" s="74" t="s">
        <v>1521</v>
      </c>
      <c r="H1456" s="46">
        <v>2465</v>
      </c>
      <c r="I1456" s="4">
        <v>1</v>
      </c>
      <c r="J1456" s="22">
        <f t="shared" si="19"/>
        <v>2958</v>
      </c>
      <c r="K1456" s="9">
        <f t="array" ref="K1456">QUARTILE(IF($F$3:$F$1460=$F1456,$H$3:$H$1460),1)</f>
        <v>393.94499999999999</v>
      </c>
      <c r="L1456" s="9">
        <f t="array" ref="L1456">QUARTILE(IF($F$3:$F$1460=$F1456,$H$3:$H$1460),2)</f>
        <v>710.01499999999999</v>
      </c>
      <c r="M1456" s="9">
        <f t="array" ref="M1456">QUARTILE(IF($F$3:$F$1460=$F1456,$H$3:$H$1460),3)</f>
        <v>2552.0574999999999</v>
      </c>
    </row>
    <row r="1457" spans="1:13" x14ac:dyDescent="0.25">
      <c r="A1457" s="7">
        <v>1421</v>
      </c>
      <c r="B1457" s="6" t="s">
        <v>1511</v>
      </c>
      <c r="C1457" s="4">
        <v>5252229</v>
      </c>
      <c r="D1457" s="23" t="str">
        <f t="shared" si="18"/>
        <v>https://crz.gov.sk/zmluva/5252229</v>
      </c>
      <c r="E1457" s="45" t="s">
        <v>1512</v>
      </c>
      <c r="F1457" s="44" t="s">
        <v>54</v>
      </c>
      <c r="G1457" s="74" t="s">
        <v>1522</v>
      </c>
      <c r="H1457" s="46">
        <v>4550</v>
      </c>
      <c r="I1457" s="4">
        <v>1</v>
      </c>
      <c r="J1457" s="22">
        <f t="shared" si="19"/>
        <v>5460</v>
      </c>
      <c r="K1457" s="9">
        <f t="array" ref="K1457">QUARTILE(IF($F$3:$F$1460=$F1457,$H$3:$H$1460),1)</f>
        <v>393.94499999999999</v>
      </c>
      <c r="L1457" s="9">
        <f t="array" ref="L1457">QUARTILE(IF($F$3:$F$1460=$F1457,$H$3:$H$1460),2)</f>
        <v>710.01499999999999</v>
      </c>
      <c r="M1457" s="9">
        <f t="array" ref="M1457">QUARTILE(IF($F$3:$F$1460=$F1457,$H$3:$H$1460),3)</f>
        <v>2552.0574999999999</v>
      </c>
    </row>
    <row r="1458" spans="1:13" x14ac:dyDescent="0.25">
      <c r="A1458" s="7">
        <v>1422</v>
      </c>
      <c r="B1458" s="6" t="s">
        <v>1511</v>
      </c>
      <c r="C1458" s="4">
        <v>5252229</v>
      </c>
      <c r="D1458" s="23" t="str">
        <f t="shared" si="18"/>
        <v>https://crz.gov.sk/zmluva/5252229</v>
      </c>
      <c r="E1458" s="45" t="s">
        <v>1512</v>
      </c>
      <c r="F1458" s="44" t="s">
        <v>60</v>
      </c>
      <c r="G1458" s="74" t="s">
        <v>1523</v>
      </c>
      <c r="H1458" s="46">
        <v>993</v>
      </c>
      <c r="I1458" s="4">
        <v>200</v>
      </c>
      <c r="J1458" s="22">
        <f t="shared" si="19"/>
        <v>238320</v>
      </c>
      <c r="K1458" s="9">
        <f t="array" ref="K1458">QUARTILE(IF($F$3:$F$1460=$F1458,$H$3:$H$1460),1)</f>
        <v>680</v>
      </c>
      <c r="L1458" s="9">
        <f t="array" ref="L1458">QUARTILE(IF($F$3:$F$1460=$F1458,$H$3:$H$1460),2)</f>
        <v>991</v>
      </c>
      <c r="M1458" s="9">
        <f t="array" ref="M1458">QUARTILE(IF($F$3:$F$1460=$F1458,$H$3:$H$1460),3)</f>
        <v>1485.8333333333335</v>
      </c>
    </row>
    <row r="1459" spans="1:13" x14ac:dyDescent="0.25">
      <c r="A1459" s="7">
        <v>1423</v>
      </c>
      <c r="B1459" s="6" t="s">
        <v>1511</v>
      </c>
      <c r="C1459" s="4">
        <v>5252229</v>
      </c>
      <c r="D1459" s="23" t="str">
        <f t="shared" si="18"/>
        <v>https://crz.gov.sk/zmluva/5252229</v>
      </c>
      <c r="E1459" s="45" t="s">
        <v>1512</v>
      </c>
      <c r="F1459" s="44" t="s">
        <v>44</v>
      </c>
      <c r="G1459" s="74" t="s">
        <v>1524</v>
      </c>
      <c r="H1459" s="46">
        <v>175</v>
      </c>
      <c r="I1459" s="4">
        <v>760</v>
      </c>
      <c r="J1459" s="22">
        <f t="shared" si="19"/>
        <v>159600</v>
      </c>
      <c r="K1459" s="9">
        <f t="array" ref="K1459">QUARTILE(IF($F$3:$F$1460=$F1459,$H$3:$H$1460),1)</f>
        <v>141.67500000000001</v>
      </c>
      <c r="L1459" s="9">
        <f t="array" ref="L1459">QUARTILE(IF($F$3:$F$1460=$F1459,$H$3:$H$1460),2)</f>
        <v>194</v>
      </c>
      <c r="M1459" s="9">
        <f t="array" ref="M1459">QUARTILE(IF($F$3:$F$1460=$F1459,$H$3:$H$1460),3)</f>
        <v>266.75</v>
      </c>
    </row>
    <row r="1460" spans="1:13" x14ac:dyDescent="0.25">
      <c r="A1460" s="7">
        <v>1424</v>
      </c>
      <c r="B1460" s="6" t="s">
        <v>1511</v>
      </c>
      <c r="C1460" s="4">
        <v>5252229</v>
      </c>
      <c r="D1460" s="23" t="str">
        <f t="shared" si="18"/>
        <v>https://crz.gov.sk/zmluva/5252229</v>
      </c>
      <c r="E1460" s="45" t="s">
        <v>1512</v>
      </c>
      <c r="F1460" s="44" t="s">
        <v>44</v>
      </c>
      <c r="G1460" s="74" t="s">
        <v>1525</v>
      </c>
      <c r="H1460" s="46">
        <v>219</v>
      </c>
      <c r="I1460" s="4">
        <v>200</v>
      </c>
      <c r="J1460" s="22">
        <f t="shared" si="19"/>
        <v>52560</v>
      </c>
      <c r="K1460" s="9">
        <f t="array" ref="K1460">QUARTILE(IF($F$3:$F$1460=$F1460,$H$3:$H$1460),1)</f>
        <v>141.67500000000001</v>
      </c>
      <c r="L1460" s="9">
        <f t="array" ref="L1460">QUARTILE(IF($F$3:$F$1460=$F1460,$H$3:$H$1460),2)</f>
        <v>194</v>
      </c>
      <c r="M1460" s="9">
        <f t="array" ref="M1460">QUARTILE(IF($F$3:$F$1460=$F1460,$H$3:$H$1460),3)</f>
        <v>266.75</v>
      </c>
    </row>
    <row r="1461" spans="1:13" x14ac:dyDescent="0.25">
      <c r="A1461" s="7">
        <v>1425</v>
      </c>
    </row>
    <row r="1462" spans="1:13" x14ac:dyDescent="0.25">
      <c r="A1462" s="7">
        <v>1426</v>
      </c>
    </row>
    <row r="1463" spans="1:13" x14ac:dyDescent="0.25">
      <c r="A1463" s="7">
        <v>1427</v>
      </c>
    </row>
    <row r="1464" spans="1:13" x14ac:dyDescent="0.25">
      <c r="A1464" s="7">
        <v>1428</v>
      </c>
    </row>
    <row r="1465" spans="1:13" x14ac:dyDescent="0.25">
      <c r="A1465" s="7">
        <v>1429</v>
      </c>
    </row>
    <row r="1466" spans="1:13" x14ac:dyDescent="0.25">
      <c r="A1466" s="7">
        <v>1430</v>
      </c>
    </row>
    <row r="1467" spans="1:13" x14ac:dyDescent="0.25">
      <c r="A1467" s="7">
        <v>1431</v>
      </c>
    </row>
    <row r="1468" spans="1:13" x14ac:dyDescent="0.25">
      <c r="A1468" s="7">
        <v>1432</v>
      </c>
    </row>
    <row r="1469" spans="1:13" x14ac:dyDescent="0.25">
      <c r="A1469" s="7">
        <v>1433</v>
      </c>
    </row>
    <row r="1470" spans="1:13" x14ac:dyDescent="0.25">
      <c r="A1470" s="7">
        <v>1434</v>
      </c>
    </row>
    <row r="1471" spans="1:13" x14ac:dyDescent="0.25">
      <c r="A1471" s="7">
        <v>1435</v>
      </c>
    </row>
    <row r="1472" spans="1:13" x14ac:dyDescent="0.25">
      <c r="A1472" s="7">
        <v>1436</v>
      </c>
    </row>
    <row r="1473" spans="1:1" x14ac:dyDescent="0.25">
      <c r="A1473" s="7">
        <v>1437</v>
      </c>
    </row>
    <row r="1474" spans="1:1" x14ac:dyDescent="0.25">
      <c r="A1474" s="7">
        <v>1438</v>
      </c>
    </row>
    <row r="1475" spans="1:1" x14ac:dyDescent="0.25">
      <c r="A1475" s="7">
        <v>1439</v>
      </c>
    </row>
    <row r="1476" spans="1:1" x14ac:dyDescent="0.25">
      <c r="A1476" s="7">
        <v>1440</v>
      </c>
    </row>
    <row r="1477" spans="1:1" x14ac:dyDescent="0.25">
      <c r="A1477" s="7">
        <v>1441</v>
      </c>
    </row>
    <row r="1478" spans="1:1" x14ac:dyDescent="0.25">
      <c r="A1478" s="7">
        <v>1442</v>
      </c>
    </row>
    <row r="1479" spans="1:1" x14ac:dyDescent="0.25">
      <c r="A1479" s="7">
        <v>1443</v>
      </c>
    </row>
    <row r="1480" spans="1:1" x14ac:dyDescent="0.25">
      <c r="A1480" s="7">
        <v>1444</v>
      </c>
    </row>
    <row r="1481" spans="1:1" x14ac:dyDescent="0.25">
      <c r="A1481" s="7">
        <v>1445</v>
      </c>
    </row>
    <row r="1482" spans="1:1" x14ac:dyDescent="0.25">
      <c r="A1482" s="7">
        <v>1446</v>
      </c>
    </row>
    <row r="1483" spans="1:1" x14ac:dyDescent="0.25">
      <c r="A1483" s="7">
        <v>1447</v>
      </c>
    </row>
    <row r="1484" spans="1:1" x14ac:dyDescent="0.25">
      <c r="A1484" s="7">
        <v>1448</v>
      </c>
    </row>
    <row r="1485" spans="1:1" x14ac:dyDescent="0.25">
      <c r="A1485" s="7">
        <v>1449</v>
      </c>
    </row>
    <row r="1486" spans="1:1" x14ac:dyDescent="0.25">
      <c r="A1486" s="7">
        <v>1450</v>
      </c>
    </row>
    <row r="1487" spans="1:1" x14ac:dyDescent="0.25">
      <c r="A1487" s="7">
        <v>1451</v>
      </c>
    </row>
    <row r="1488" spans="1:1" x14ac:dyDescent="0.25">
      <c r="A1488" s="7">
        <v>1452</v>
      </c>
    </row>
    <row r="1489" spans="1:1" x14ac:dyDescent="0.25">
      <c r="A1489" s="7">
        <v>1453</v>
      </c>
    </row>
    <row r="1490" spans="1:1" x14ac:dyDescent="0.25">
      <c r="A1490" s="7">
        <v>1454</v>
      </c>
    </row>
    <row r="1491" spans="1:1" x14ac:dyDescent="0.25">
      <c r="A1491" s="7">
        <v>1455</v>
      </c>
    </row>
    <row r="1492" spans="1:1" x14ac:dyDescent="0.25">
      <c r="A1492" s="7">
        <v>1456</v>
      </c>
    </row>
    <row r="1493" spans="1:1" x14ac:dyDescent="0.25">
      <c r="A1493" s="7">
        <v>1457</v>
      </c>
    </row>
    <row r="1494" spans="1:1" x14ac:dyDescent="0.25">
      <c r="A1494" s="7">
        <v>1458</v>
      </c>
    </row>
    <row r="1495" spans="1:1" x14ac:dyDescent="0.25">
      <c r="A1495" s="7">
        <v>1459</v>
      </c>
    </row>
    <row r="1496" spans="1:1" x14ac:dyDescent="0.25">
      <c r="A1496" s="7">
        <v>1460</v>
      </c>
    </row>
    <row r="1497" spans="1:1" x14ac:dyDescent="0.25">
      <c r="A1497" s="7">
        <v>1461</v>
      </c>
    </row>
    <row r="1498" spans="1:1" x14ac:dyDescent="0.25">
      <c r="A1498" s="7">
        <v>1462</v>
      </c>
    </row>
    <row r="1499" spans="1:1" x14ac:dyDescent="0.25">
      <c r="A1499" s="7">
        <v>1463</v>
      </c>
    </row>
    <row r="1500" spans="1:1" x14ac:dyDescent="0.25">
      <c r="A1500" s="7">
        <v>1464</v>
      </c>
    </row>
    <row r="1501" spans="1:1" x14ac:dyDescent="0.25">
      <c r="A1501" s="7">
        <v>1465</v>
      </c>
    </row>
    <row r="1502" spans="1:1" x14ac:dyDescent="0.25">
      <c r="A1502" s="7">
        <v>1466</v>
      </c>
    </row>
    <row r="1503" spans="1:1" x14ac:dyDescent="0.25">
      <c r="A1503" s="7">
        <v>1467</v>
      </c>
    </row>
    <row r="1504" spans="1:1" x14ac:dyDescent="0.25">
      <c r="A1504" s="7">
        <v>1468</v>
      </c>
    </row>
    <row r="1505" spans="1:1" x14ac:dyDescent="0.25">
      <c r="A1505" s="7">
        <v>1469</v>
      </c>
    </row>
    <row r="1506" spans="1:1" x14ac:dyDescent="0.25">
      <c r="A1506" s="7">
        <v>1470</v>
      </c>
    </row>
    <row r="1507" spans="1:1" x14ac:dyDescent="0.25">
      <c r="A1507" s="7">
        <v>1471</v>
      </c>
    </row>
    <row r="1508" spans="1:1" x14ac:dyDescent="0.25">
      <c r="A1508" s="7">
        <v>1472</v>
      </c>
    </row>
    <row r="1509" spans="1:1" x14ac:dyDescent="0.25">
      <c r="A1509" s="7">
        <v>1473</v>
      </c>
    </row>
    <row r="1510" spans="1:1" x14ac:dyDescent="0.25">
      <c r="A1510" s="7">
        <v>1474</v>
      </c>
    </row>
    <row r="1511" spans="1:1" x14ac:dyDescent="0.25">
      <c r="A1511" s="7">
        <v>1475</v>
      </c>
    </row>
    <row r="1512" spans="1:1" x14ac:dyDescent="0.25">
      <c r="A1512" s="7">
        <v>1476</v>
      </c>
    </row>
    <row r="1513" spans="1:1" x14ac:dyDescent="0.25">
      <c r="A1513" s="7">
        <v>1477</v>
      </c>
    </row>
    <row r="1514" spans="1:1" x14ac:dyDescent="0.25">
      <c r="A1514" s="7">
        <v>1478</v>
      </c>
    </row>
    <row r="1515" spans="1:1" x14ac:dyDescent="0.25">
      <c r="A1515" s="7">
        <v>1479</v>
      </c>
    </row>
    <row r="1516" spans="1:1" x14ac:dyDescent="0.25">
      <c r="A1516" s="7">
        <v>1480</v>
      </c>
    </row>
    <row r="1517" spans="1:1" x14ac:dyDescent="0.25">
      <c r="A1517" s="7">
        <v>1481</v>
      </c>
    </row>
    <row r="1518" spans="1:1" x14ac:dyDescent="0.25">
      <c r="A1518" s="7">
        <v>1482</v>
      </c>
    </row>
    <row r="1519" spans="1:1" x14ac:dyDescent="0.25">
      <c r="A1519" s="7">
        <v>1483</v>
      </c>
    </row>
    <row r="1520" spans="1:1" x14ac:dyDescent="0.25">
      <c r="A1520" s="7">
        <v>1484</v>
      </c>
    </row>
    <row r="1521" spans="1:1" x14ac:dyDescent="0.25">
      <c r="A1521" s="7">
        <v>1485</v>
      </c>
    </row>
    <row r="1522" spans="1:1" x14ac:dyDescent="0.25">
      <c r="A1522" s="7">
        <v>1486</v>
      </c>
    </row>
    <row r="1523" spans="1:1" x14ac:dyDescent="0.25">
      <c r="A1523" s="7">
        <v>1487</v>
      </c>
    </row>
    <row r="1524" spans="1:1" x14ac:dyDescent="0.25">
      <c r="A1524" s="7">
        <v>1488</v>
      </c>
    </row>
    <row r="1525" spans="1:1" x14ac:dyDescent="0.25">
      <c r="A1525" s="7">
        <v>1489</v>
      </c>
    </row>
    <row r="1526" spans="1:1" x14ac:dyDescent="0.25">
      <c r="A1526" s="7">
        <v>1490</v>
      </c>
    </row>
    <row r="1527" spans="1:1" x14ac:dyDescent="0.25">
      <c r="A1527" s="7">
        <v>1491</v>
      </c>
    </row>
    <row r="1528" spans="1:1" x14ac:dyDescent="0.25">
      <c r="A1528" s="7">
        <v>1492</v>
      </c>
    </row>
    <row r="1529" spans="1:1" x14ac:dyDescent="0.25">
      <c r="A1529" s="7">
        <v>1493</v>
      </c>
    </row>
    <row r="1530" spans="1:1" x14ac:dyDescent="0.25">
      <c r="A1530" s="7">
        <v>1494</v>
      </c>
    </row>
    <row r="1531" spans="1:1" x14ac:dyDescent="0.25">
      <c r="A1531" s="7">
        <v>1495</v>
      </c>
    </row>
    <row r="1532" spans="1:1" x14ac:dyDescent="0.25">
      <c r="A1532" s="7">
        <v>1496</v>
      </c>
    </row>
    <row r="1533" spans="1:1" x14ac:dyDescent="0.25">
      <c r="A1533" s="7">
        <v>1497</v>
      </c>
    </row>
    <row r="1534" spans="1:1" x14ac:dyDescent="0.25">
      <c r="A1534" s="7">
        <v>1498</v>
      </c>
    </row>
    <row r="1535" spans="1:1" x14ac:dyDescent="0.25">
      <c r="A1535" s="7">
        <v>1499</v>
      </c>
    </row>
    <row r="1536" spans="1:1" x14ac:dyDescent="0.25">
      <c r="A1536" s="7">
        <v>1500</v>
      </c>
    </row>
    <row r="1537" spans="1:1" x14ac:dyDescent="0.25">
      <c r="A1537" s="7">
        <v>1501</v>
      </c>
    </row>
    <row r="1538" spans="1:1" x14ac:dyDescent="0.25">
      <c r="A1538" s="7">
        <v>1502</v>
      </c>
    </row>
    <row r="1539" spans="1:1" x14ac:dyDescent="0.25">
      <c r="A1539" s="7">
        <v>1503</v>
      </c>
    </row>
    <row r="1540" spans="1:1" x14ac:dyDescent="0.25">
      <c r="A1540" s="7">
        <v>1504</v>
      </c>
    </row>
    <row r="1541" spans="1:1" x14ac:dyDescent="0.25">
      <c r="A1541" s="7">
        <v>1505</v>
      </c>
    </row>
    <row r="1542" spans="1:1" x14ac:dyDescent="0.25">
      <c r="A1542" s="7">
        <v>1506</v>
      </c>
    </row>
    <row r="1543" spans="1:1" x14ac:dyDescent="0.25">
      <c r="A1543" s="7">
        <v>1507</v>
      </c>
    </row>
    <row r="1544" spans="1:1" x14ac:dyDescent="0.25">
      <c r="A1544" s="7">
        <v>1508</v>
      </c>
    </row>
    <row r="1545" spans="1:1" x14ac:dyDescent="0.25">
      <c r="A1545" s="7">
        <v>1509</v>
      </c>
    </row>
    <row r="1546" spans="1:1" x14ac:dyDescent="0.25">
      <c r="A1546" s="7">
        <v>1510</v>
      </c>
    </row>
    <row r="1547" spans="1:1" x14ac:dyDescent="0.25">
      <c r="A1547" s="7">
        <v>1511</v>
      </c>
    </row>
    <row r="1548" spans="1:1" x14ac:dyDescent="0.25">
      <c r="A1548" s="7">
        <v>1512</v>
      </c>
    </row>
    <row r="1549" spans="1:1" x14ac:dyDescent="0.25">
      <c r="A1549" s="7">
        <v>1513</v>
      </c>
    </row>
    <row r="1550" spans="1:1" x14ac:dyDescent="0.25">
      <c r="A1550" s="7">
        <v>1514</v>
      </c>
    </row>
    <row r="1551" spans="1:1" x14ac:dyDescent="0.25">
      <c r="A1551" s="7">
        <v>1515</v>
      </c>
    </row>
    <row r="1552" spans="1:1" x14ac:dyDescent="0.25">
      <c r="A1552" s="7">
        <v>1516</v>
      </c>
    </row>
    <row r="1553" spans="1:1" x14ac:dyDescent="0.25">
      <c r="A1553" s="7">
        <v>1517</v>
      </c>
    </row>
    <row r="1554" spans="1:1" x14ac:dyDescent="0.25">
      <c r="A1554" s="7">
        <v>1518</v>
      </c>
    </row>
    <row r="1555" spans="1:1" x14ac:dyDescent="0.25">
      <c r="A1555" s="7">
        <v>1519</v>
      </c>
    </row>
    <row r="1556" spans="1:1" x14ac:dyDescent="0.25">
      <c r="A1556" s="7">
        <v>1520</v>
      </c>
    </row>
    <row r="1557" spans="1:1" x14ac:dyDescent="0.25">
      <c r="A1557" s="7">
        <v>1521</v>
      </c>
    </row>
    <row r="1558" spans="1:1" x14ac:dyDescent="0.25">
      <c r="A1558" s="7">
        <v>1522</v>
      </c>
    </row>
    <row r="1559" spans="1:1" x14ac:dyDescent="0.25">
      <c r="A1559" s="7">
        <v>1523</v>
      </c>
    </row>
    <row r="1560" spans="1:1" x14ac:dyDescent="0.25">
      <c r="A1560" s="7">
        <v>1524</v>
      </c>
    </row>
    <row r="1561" spans="1:1" x14ac:dyDescent="0.25">
      <c r="A1561" s="7">
        <v>1525</v>
      </c>
    </row>
    <row r="1562" spans="1:1" x14ac:dyDescent="0.25">
      <c r="A1562" s="7">
        <v>1526</v>
      </c>
    </row>
    <row r="1563" spans="1:1" x14ac:dyDescent="0.25">
      <c r="A1563" s="7">
        <v>1527</v>
      </c>
    </row>
    <row r="1564" spans="1:1" x14ac:dyDescent="0.25">
      <c r="A1564" s="7">
        <v>1528</v>
      </c>
    </row>
    <row r="1565" spans="1:1" x14ac:dyDescent="0.25">
      <c r="A1565" s="7">
        <v>1529</v>
      </c>
    </row>
    <row r="1566" spans="1:1" x14ac:dyDescent="0.25">
      <c r="A1566" s="7">
        <v>1530</v>
      </c>
    </row>
    <row r="1567" spans="1:1" x14ac:dyDescent="0.25">
      <c r="A1567" s="7">
        <v>1531</v>
      </c>
    </row>
    <row r="1568" spans="1:1" x14ac:dyDescent="0.25">
      <c r="A1568" s="7">
        <v>1532</v>
      </c>
    </row>
    <row r="1569" spans="1:1" x14ac:dyDescent="0.25">
      <c r="A1569" s="7">
        <v>1533</v>
      </c>
    </row>
    <row r="1570" spans="1:1" x14ac:dyDescent="0.25">
      <c r="A1570" s="7">
        <v>1534</v>
      </c>
    </row>
    <row r="1571" spans="1:1" x14ac:dyDescent="0.25">
      <c r="A1571" s="7">
        <v>1535</v>
      </c>
    </row>
    <row r="1572" spans="1:1" x14ac:dyDescent="0.25">
      <c r="A1572" s="7">
        <v>1536</v>
      </c>
    </row>
    <row r="1573" spans="1:1" x14ac:dyDescent="0.25">
      <c r="A1573" s="7">
        <v>1537</v>
      </c>
    </row>
    <row r="1574" spans="1:1" x14ac:dyDescent="0.25">
      <c r="A1574" s="7">
        <v>1538</v>
      </c>
    </row>
    <row r="1575" spans="1:1" x14ac:dyDescent="0.25">
      <c r="A1575" s="7">
        <v>1539</v>
      </c>
    </row>
    <row r="1576" spans="1:1" x14ac:dyDescent="0.25">
      <c r="A1576" s="7">
        <v>1540</v>
      </c>
    </row>
    <row r="1577" spans="1:1" x14ac:dyDescent="0.25">
      <c r="A1577" s="7">
        <v>1541</v>
      </c>
    </row>
    <row r="1578" spans="1:1" x14ac:dyDescent="0.25">
      <c r="A1578" s="7">
        <v>1542</v>
      </c>
    </row>
    <row r="1579" spans="1:1" x14ac:dyDescent="0.25">
      <c r="A1579" s="7">
        <v>1543</v>
      </c>
    </row>
    <row r="1580" spans="1:1" x14ac:dyDescent="0.25">
      <c r="A1580" s="7">
        <v>1544</v>
      </c>
    </row>
    <row r="1581" spans="1:1" x14ac:dyDescent="0.25">
      <c r="A1581" s="7">
        <v>1545</v>
      </c>
    </row>
    <row r="1582" spans="1:1" x14ac:dyDescent="0.25">
      <c r="A1582" s="7">
        <v>1546</v>
      </c>
    </row>
    <row r="1583" spans="1:1" x14ac:dyDescent="0.25">
      <c r="A1583" s="7">
        <v>1547</v>
      </c>
    </row>
    <row r="1584" spans="1:1" x14ac:dyDescent="0.25">
      <c r="A1584" s="7">
        <v>1548</v>
      </c>
    </row>
    <row r="1585" spans="1:1" x14ac:dyDescent="0.25">
      <c r="A1585" s="7">
        <v>1549</v>
      </c>
    </row>
    <row r="1586" spans="1:1" x14ac:dyDescent="0.25">
      <c r="A1586" s="7">
        <v>1550</v>
      </c>
    </row>
    <row r="1587" spans="1:1" x14ac:dyDescent="0.25">
      <c r="A1587" s="7">
        <v>1551</v>
      </c>
    </row>
    <row r="1588" spans="1:1" x14ac:dyDescent="0.25">
      <c r="A1588" s="7">
        <v>1552</v>
      </c>
    </row>
    <row r="1589" spans="1:1" x14ac:dyDescent="0.25">
      <c r="A1589" s="7">
        <v>1553</v>
      </c>
    </row>
    <row r="1590" spans="1:1" x14ac:dyDescent="0.25">
      <c r="A1590" s="7">
        <v>1554</v>
      </c>
    </row>
    <row r="1591" spans="1:1" x14ac:dyDescent="0.25">
      <c r="A1591" s="7">
        <v>1555</v>
      </c>
    </row>
    <row r="1592" spans="1:1" x14ac:dyDescent="0.25">
      <c r="A1592" s="7">
        <v>1556</v>
      </c>
    </row>
    <row r="1593" spans="1:1" x14ac:dyDescent="0.25">
      <c r="A1593" s="7">
        <v>1557</v>
      </c>
    </row>
    <row r="1594" spans="1:1" x14ac:dyDescent="0.25">
      <c r="A1594" s="7">
        <v>1558</v>
      </c>
    </row>
    <row r="1595" spans="1:1" x14ac:dyDescent="0.25">
      <c r="A1595" s="7">
        <v>1559</v>
      </c>
    </row>
    <row r="1596" spans="1:1" x14ac:dyDescent="0.25">
      <c r="A1596" s="7">
        <v>1560</v>
      </c>
    </row>
    <row r="1597" spans="1:1" x14ac:dyDescent="0.25">
      <c r="A1597" s="7">
        <v>1561</v>
      </c>
    </row>
    <row r="1598" spans="1:1" x14ac:dyDescent="0.25">
      <c r="A1598" s="7">
        <v>1562</v>
      </c>
    </row>
    <row r="1599" spans="1:1" x14ac:dyDescent="0.25">
      <c r="A1599" s="7">
        <v>1563</v>
      </c>
    </row>
    <row r="1600" spans="1:1" x14ac:dyDescent="0.25">
      <c r="A1600" s="7">
        <v>1564</v>
      </c>
    </row>
    <row r="1601" spans="1:1" x14ac:dyDescent="0.25">
      <c r="A1601" s="7">
        <v>1565</v>
      </c>
    </row>
    <row r="1602" spans="1:1" x14ac:dyDescent="0.25">
      <c r="A1602" s="7">
        <v>1566</v>
      </c>
    </row>
    <row r="1603" spans="1:1" x14ac:dyDescent="0.25">
      <c r="A1603" s="7">
        <v>1567</v>
      </c>
    </row>
    <row r="1604" spans="1:1" x14ac:dyDescent="0.25">
      <c r="A1604" s="7">
        <v>1568</v>
      </c>
    </row>
    <row r="1605" spans="1:1" x14ac:dyDescent="0.25">
      <c r="A1605" s="7">
        <v>1569</v>
      </c>
    </row>
    <row r="1606" spans="1:1" x14ac:dyDescent="0.25">
      <c r="A1606" s="7">
        <v>1570</v>
      </c>
    </row>
    <row r="1607" spans="1:1" x14ac:dyDescent="0.25">
      <c r="A1607" s="7">
        <v>1571</v>
      </c>
    </row>
    <row r="1608" spans="1:1" x14ac:dyDescent="0.25">
      <c r="A1608" s="7">
        <v>1572</v>
      </c>
    </row>
    <row r="1609" spans="1:1" x14ac:dyDescent="0.25">
      <c r="A1609" s="7">
        <v>1573</v>
      </c>
    </row>
    <row r="1610" spans="1:1" x14ac:dyDescent="0.25">
      <c r="A1610" s="7">
        <v>1574</v>
      </c>
    </row>
    <row r="1611" spans="1:1" x14ac:dyDescent="0.25">
      <c r="A1611" s="7">
        <v>1575</v>
      </c>
    </row>
    <row r="1612" spans="1:1" x14ac:dyDescent="0.25">
      <c r="A1612" s="7">
        <v>1576</v>
      </c>
    </row>
    <row r="1613" spans="1:1" x14ac:dyDescent="0.25">
      <c r="A1613" s="7">
        <v>1577</v>
      </c>
    </row>
    <row r="1614" spans="1:1" x14ac:dyDescent="0.25">
      <c r="A1614" s="7">
        <v>1578</v>
      </c>
    </row>
    <row r="1615" spans="1:1" x14ac:dyDescent="0.25">
      <c r="A1615" s="7">
        <v>1579</v>
      </c>
    </row>
    <row r="1616" spans="1:1" x14ac:dyDescent="0.25">
      <c r="A1616" s="7">
        <v>1580</v>
      </c>
    </row>
    <row r="1617" spans="1:1" x14ac:dyDescent="0.25">
      <c r="A1617" s="7">
        <v>1581</v>
      </c>
    </row>
    <row r="1618" spans="1:1" x14ac:dyDescent="0.25">
      <c r="A1618" s="7">
        <v>1582</v>
      </c>
    </row>
    <row r="1619" spans="1:1" x14ac:dyDescent="0.25">
      <c r="A1619" s="7">
        <v>1583</v>
      </c>
    </row>
    <row r="1620" spans="1:1" x14ac:dyDescent="0.25">
      <c r="A1620" s="7">
        <v>1584</v>
      </c>
    </row>
    <row r="1621" spans="1:1" x14ac:dyDescent="0.25">
      <c r="A1621" s="7">
        <v>1585</v>
      </c>
    </row>
    <row r="1622" spans="1:1" x14ac:dyDescent="0.25">
      <c r="A1622" s="7">
        <v>1586</v>
      </c>
    </row>
    <row r="1623" spans="1:1" x14ac:dyDescent="0.25">
      <c r="A1623" s="7">
        <v>1587</v>
      </c>
    </row>
    <row r="1624" spans="1:1" x14ac:dyDescent="0.25">
      <c r="A1624" s="7">
        <v>1588</v>
      </c>
    </row>
    <row r="1625" spans="1:1" x14ac:dyDescent="0.25">
      <c r="A1625" s="7">
        <v>1589</v>
      </c>
    </row>
    <row r="1626" spans="1:1" x14ac:dyDescent="0.25">
      <c r="A1626" s="7">
        <v>1590</v>
      </c>
    </row>
    <row r="1627" spans="1:1" x14ac:dyDescent="0.25">
      <c r="A1627" s="7">
        <v>1591</v>
      </c>
    </row>
    <row r="1628" spans="1:1" x14ac:dyDescent="0.25">
      <c r="A1628" s="7">
        <v>1592</v>
      </c>
    </row>
    <row r="1629" spans="1:1" x14ac:dyDescent="0.25">
      <c r="A1629" s="7">
        <v>1593</v>
      </c>
    </row>
    <row r="1630" spans="1:1" x14ac:dyDescent="0.25">
      <c r="A1630" s="7">
        <v>1594</v>
      </c>
    </row>
    <row r="1631" spans="1:1" x14ac:dyDescent="0.25">
      <c r="A1631" s="7">
        <v>1595</v>
      </c>
    </row>
    <row r="1632" spans="1:1" x14ac:dyDescent="0.25">
      <c r="A1632" s="7">
        <v>1596</v>
      </c>
    </row>
    <row r="1633" spans="1:1" x14ac:dyDescent="0.25">
      <c r="A1633" s="7">
        <v>1597</v>
      </c>
    </row>
    <row r="1634" spans="1:1" x14ac:dyDescent="0.25">
      <c r="A1634" s="7">
        <v>1598</v>
      </c>
    </row>
    <row r="1635" spans="1:1" x14ac:dyDescent="0.25">
      <c r="A1635" s="7">
        <v>1599</v>
      </c>
    </row>
    <row r="1636" spans="1:1" x14ac:dyDescent="0.25">
      <c r="A1636" s="7">
        <v>1600</v>
      </c>
    </row>
    <row r="1637" spans="1:1" x14ac:dyDescent="0.25">
      <c r="A1637" s="7">
        <v>1601</v>
      </c>
    </row>
    <row r="1638" spans="1:1" x14ac:dyDescent="0.25">
      <c r="A1638" s="7">
        <v>1602</v>
      </c>
    </row>
    <row r="1639" spans="1:1" x14ac:dyDescent="0.25">
      <c r="A1639" s="7">
        <v>1603</v>
      </c>
    </row>
    <row r="1640" spans="1:1" x14ac:dyDescent="0.25">
      <c r="A1640" s="7">
        <v>1604</v>
      </c>
    </row>
    <row r="1641" spans="1:1" x14ac:dyDescent="0.25">
      <c r="A1641" s="7">
        <v>1605</v>
      </c>
    </row>
    <row r="1642" spans="1:1" x14ac:dyDescent="0.25">
      <c r="A1642" s="7">
        <v>1606</v>
      </c>
    </row>
    <row r="1643" spans="1:1" x14ac:dyDescent="0.25">
      <c r="A1643" s="7">
        <v>1607</v>
      </c>
    </row>
    <row r="1644" spans="1:1" x14ac:dyDescent="0.25">
      <c r="A1644" s="7">
        <v>1608</v>
      </c>
    </row>
    <row r="1645" spans="1:1" x14ac:dyDescent="0.25">
      <c r="A1645" s="7">
        <v>1609</v>
      </c>
    </row>
    <row r="1646" spans="1:1" x14ac:dyDescent="0.25">
      <c r="A1646" s="7">
        <v>1610</v>
      </c>
    </row>
    <row r="1647" spans="1:1" x14ac:dyDescent="0.25">
      <c r="A1647" s="7">
        <v>1611</v>
      </c>
    </row>
    <row r="1648" spans="1:1" x14ac:dyDescent="0.25">
      <c r="A1648" s="7">
        <v>1612</v>
      </c>
    </row>
    <row r="1649" spans="1:1" x14ac:dyDescent="0.25">
      <c r="A1649" s="7">
        <v>1613</v>
      </c>
    </row>
    <row r="1650" spans="1:1" x14ac:dyDescent="0.25">
      <c r="A1650" s="7">
        <v>1614</v>
      </c>
    </row>
    <row r="1651" spans="1:1" x14ac:dyDescent="0.25">
      <c r="A1651" s="7">
        <v>1615</v>
      </c>
    </row>
    <row r="1652" spans="1:1" x14ac:dyDescent="0.25">
      <c r="A1652" s="7">
        <v>1616</v>
      </c>
    </row>
    <row r="1653" spans="1:1" x14ac:dyDescent="0.25">
      <c r="A1653" s="7">
        <v>1617</v>
      </c>
    </row>
    <row r="1654" spans="1:1" x14ac:dyDescent="0.25">
      <c r="A1654" s="7">
        <v>1618</v>
      </c>
    </row>
    <row r="1655" spans="1:1" x14ac:dyDescent="0.25">
      <c r="A1655" s="7">
        <v>1619</v>
      </c>
    </row>
    <row r="1656" spans="1:1" x14ac:dyDescent="0.25">
      <c r="A1656" s="7">
        <v>1620</v>
      </c>
    </row>
    <row r="1657" spans="1:1" x14ac:dyDescent="0.25">
      <c r="A1657" s="7">
        <v>1621</v>
      </c>
    </row>
    <row r="1658" spans="1:1" x14ac:dyDescent="0.25">
      <c r="A1658" s="7">
        <v>1622</v>
      </c>
    </row>
    <row r="1659" spans="1:1" x14ac:dyDescent="0.25">
      <c r="A1659" s="7">
        <v>1623</v>
      </c>
    </row>
    <row r="1660" spans="1:1" x14ac:dyDescent="0.25">
      <c r="A1660" s="7">
        <v>1624</v>
      </c>
    </row>
    <row r="1661" spans="1:1" x14ac:dyDescent="0.25">
      <c r="A1661" s="7">
        <v>1625</v>
      </c>
    </row>
    <row r="1662" spans="1:1" x14ac:dyDescent="0.25">
      <c r="A1662" s="7">
        <v>1626</v>
      </c>
    </row>
    <row r="1663" spans="1:1" x14ac:dyDescent="0.25">
      <c r="A1663" s="7">
        <v>1627</v>
      </c>
    </row>
    <row r="1664" spans="1:1" x14ac:dyDescent="0.25">
      <c r="A1664" s="7">
        <v>1628</v>
      </c>
    </row>
    <row r="1665" spans="1:1" x14ac:dyDescent="0.25">
      <c r="A1665" s="7">
        <v>1629</v>
      </c>
    </row>
    <row r="1666" spans="1:1" x14ac:dyDescent="0.25">
      <c r="A1666" s="7">
        <v>1630</v>
      </c>
    </row>
    <row r="1667" spans="1:1" x14ac:dyDescent="0.25">
      <c r="A1667" s="7">
        <v>1631</v>
      </c>
    </row>
    <row r="1668" spans="1:1" x14ac:dyDescent="0.25">
      <c r="A1668" s="7">
        <v>1632</v>
      </c>
    </row>
    <row r="1669" spans="1:1" x14ac:dyDescent="0.25">
      <c r="A1669" s="7">
        <v>1633</v>
      </c>
    </row>
    <row r="1670" spans="1:1" x14ac:dyDescent="0.25">
      <c r="A1670" s="7">
        <v>1634</v>
      </c>
    </row>
    <row r="1671" spans="1:1" x14ac:dyDescent="0.25">
      <c r="A1671" s="7">
        <v>1635</v>
      </c>
    </row>
    <row r="1672" spans="1:1" x14ac:dyDescent="0.25">
      <c r="A1672" s="7">
        <v>1636</v>
      </c>
    </row>
    <row r="1673" spans="1:1" x14ac:dyDescent="0.25">
      <c r="A1673" s="7">
        <v>1637</v>
      </c>
    </row>
    <row r="1674" spans="1:1" x14ac:dyDescent="0.25">
      <c r="A1674" s="7">
        <v>1638</v>
      </c>
    </row>
    <row r="1675" spans="1:1" x14ac:dyDescent="0.25">
      <c r="A1675" s="7">
        <v>1639</v>
      </c>
    </row>
    <row r="1676" spans="1:1" x14ac:dyDescent="0.25">
      <c r="A1676" s="7">
        <v>1640</v>
      </c>
    </row>
    <row r="1677" spans="1:1" x14ac:dyDescent="0.25">
      <c r="A1677" s="7">
        <v>1641</v>
      </c>
    </row>
    <row r="1678" spans="1:1" x14ac:dyDescent="0.25">
      <c r="A1678" s="7">
        <v>1642</v>
      </c>
    </row>
    <row r="1679" spans="1:1" x14ac:dyDescent="0.25">
      <c r="A1679" s="7">
        <v>1643</v>
      </c>
    </row>
    <row r="1680" spans="1:1" x14ac:dyDescent="0.25">
      <c r="A1680" s="7">
        <v>1644</v>
      </c>
    </row>
    <row r="1681" spans="1:1" x14ac:dyDescent="0.25">
      <c r="A1681" s="7">
        <v>1645</v>
      </c>
    </row>
    <row r="1682" spans="1:1" x14ac:dyDescent="0.25">
      <c r="A1682" s="7">
        <v>1646</v>
      </c>
    </row>
    <row r="1683" spans="1:1" x14ac:dyDescent="0.25">
      <c r="A1683" s="7">
        <v>1647</v>
      </c>
    </row>
    <row r="1684" spans="1:1" x14ac:dyDescent="0.25">
      <c r="A1684" s="7">
        <v>1648</v>
      </c>
    </row>
    <row r="1685" spans="1:1" x14ac:dyDescent="0.25">
      <c r="A1685" s="7">
        <v>1649</v>
      </c>
    </row>
    <row r="1686" spans="1:1" x14ac:dyDescent="0.25">
      <c r="A1686" s="7">
        <v>1650</v>
      </c>
    </row>
    <row r="1687" spans="1:1" x14ac:dyDescent="0.25">
      <c r="A1687" s="7">
        <v>1651</v>
      </c>
    </row>
    <row r="1688" spans="1:1" x14ac:dyDescent="0.25">
      <c r="A1688" s="7">
        <v>1652</v>
      </c>
    </row>
    <row r="1689" spans="1:1" x14ac:dyDescent="0.25">
      <c r="A1689" s="7">
        <v>1653</v>
      </c>
    </row>
    <row r="1690" spans="1:1" x14ac:dyDescent="0.25">
      <c r="A1690" s="7">
        <v>1654</v>
      </c>
    </row>
    <row r="1691" spans="1:1" x14ac:dyDescent="0.25">
      <c r="A1691" s="7">
        <v>1655</v>
      </c>
    </row>
    <row r="1692" spans="1:1" x14ac:dyDescent="0.25">
      <c r="A1692" s="7">
        <v>1656</v>
      </c>
    </row>
    <row r="1693" spans="1:1" x14ac:dyDescent="0.25">
      <c r="A1693" s="7">
        <v>1657</v>
      </c>
    </row>
    <row r="1694" spans="1:1" x14ac:dyDescent="0.25">
      <c r="A1694" s="7">
        <v>1658</v>
      </c>
    </row>
    <row r="1695" spans="1:1" x14ac:dyDescent="0.25">
      <c r="A1695" s="7">
        <v>1659</v>
      </c>
    </row>
    <row r="1696" spans="1:1" x14ac:dyDescent="0.25">
      <c r="A1696" s="7">
        <v>1660</v>
      </c>
    </row>
    <row r="1697" spans="1:1" x14ac:dyDescent="0.25">
      <c r="A1697" s="7">
        <v>1661</v>
      </c>
    </row>
    <row r="1698" spans="1:1" x14ac:dyDescent="0.25">
      <c r="A1698" s="7">
        <v>1662</v>
      </c>
    </row>
    <row r="1699" spans="1:1" x14ac:dyDescent="0.25">
      <c r="A1699" s="7">
        <v>1663</v>
      </c>
    </row>
    <row r="1700" spans="1:1" x14ac:dyDescent="0.25">
      <c r="A1700" s="7">
        <v>1664</v>
      </c>
    </row>
    <row r="1701" spans="1:1" x14ac:dyDescent="0.25">
      <c r="A1701" s="7">
        <v>1665</v>
      </c>
    </row>
    <row r="1702" spans="1:1" x14ac:dyDescent="0.25">
      <c r="A1702" s="7">
        <v>1666</v>
      </c>
    </row>
    <row r="1703" spans="1:1" x14ac:dyDescent="0.25">
      <c r="A1703" s="7">
        <v>1667</v>
      </c>
    </row>
    <row r="1704" spans="1:1" x14ac:dyDescent="0.25">
      <c r="A1704" s="7">
        <v>1668</v>
      </c>
    </row>
    <row r="1705" spans="1:1" x14ac:dyDescent="0.25">
      <c r="A1705" s="7">
        <v>1669</v>
      </c>
    </row>
    <row r="1706" spans="1:1" x14ac:dyDescent="0.25">
      <c r="A1706" s="7">
        <v>1670</v>
      </c>
    </row>
    <row r="1707" spans="1:1" x14ac:dyDescent="0.25">
      <c r="A1707" s="7">
        <v>1671</v>
      </c>
    </row>
    <row r="1708" spans="1:1" x14ac:dyDescent="0.25">
      <c r="A1708" s="7">
        <v>1672</v>
      </c>
    </row>
    <row r="1709" spans="1:1" x14ac:dyDescent="0.25">
      <c r="A1709" s="7">
        <v>1673</v>
      </c>
    </row>
    <row r="1710" spans="1:1" x14ac:dyDescent="0.25">
      <c r="A1710" s="7">
        <v>1674</v>
      </c>
    </row>
    <row r="1711" spans="1:1" x14ac:dyDescent="0.25">
      <c r="A1711" s="7">
        <v>1675</v>
      </c>
    </row>
    <row r="1712" spans="1:1" x14ac:dyDescent="0.25">
      <c r="A1712" s="7">
        <v>1676</v>
      </c>
    </row>
    <row r="1713" spans="1:1" x14ac:dyDescent="0.25">
      <c r="A1713" s="7">
        <v>1677</v>
      </c>
    </row>
    <row r="1714" spans="1:1" x14ac:dyDescent="0.25">
      <c r="A1714" s="7">
        <v>1678</v>
      </c>
    </row>
    <row r="1715" spans="1:1" x14ac:dyDescent="0.25">
      <c r="A1715" s="7">
        <v>1679</v>
      </c>
    </row>
    <row r="1716" spans="1:1" x14ac:dyDescent="0.25">
      <c r="A1716" s="7">
        <v>1680</v>
      </c>
    </row>
    <row r="1717" spans="1:1" x14ac:dyDescent="0.25">
      <c r="A1717" s="7">
        <v>1681</v>
      </c>
    </row>
    <row r="1718" spans="1:1" x14ac:dyDescent="0.25">
      <c r="A1718" s="7">
        <v>1682</v>
      </c>
    </row>
    <row r="1719" spans="1:1" x14ac:dyDescent="0.25">
      <c r="A1719" s="7">
        <v>1683</v>
      </c>
    </row>
    <row r="1720" spans="1:1" x14ac:dyDescent="0.25">
      <c r="A1720" s="7">
        <v>1684</v>
      </c>
    </row>
    <row r="1721" spans="1:1" x14ac:dyDescent="0.25">
      <c r="A1721" s="7">
        <v>1685</v>
      </c>
    </row>
    <row r="1722" spans="1:1" x14ac:dyDescent="0.25">
      <c r="A1722" s="7">
        <v>1686</v>
      </c>
    </row>
    <row r="1723" spans="1:1" x14ac:dyDescent="0.25">
      <c r="A1723" s="7">
        <v>1687</v>
      </c>
    </row>
    <row r="1724" spans="1:1" x14ac:dyDescent="0.25">
      <c r="A1724" s="7">
        <v>1688</v>
      </c>
    </row>
    <row r="1725" spans="1:1" x14ac:dyDescent="0.25">
      <c r="A1725" s="7">
        <v>1689</v>
      </c>
    </row>
    <row r="1726" spans="1:1" x14ac:dyDescent="0.25">
      <c r="A1726" s="7">
        <v>1690</v>
      </c>
    </row>
    <row r="1727" spans="1:1" x14ac:dyDescent="0.25">
      <c r="A1727" s="7">
        <v>1691</v>
      </c>
    </row>
    <row r="1728" spans="1:1" x14ac:dyDescent="0.25">
      <c r="A1728" s="7">
        <v>1692</v>
      </c>
    </row>
    <row r="1729" spans="1:1" x14ac:dyDescent="0.25">
      <c r="A1729" s="7">
        <v>1693</v>
      </c>
    </row>
    <row r="1730" spans="1:1" x14ac:dyDescent="0.25">
      <c r="A1730" s="7">
        <v>1694</v>
      </c>
    </row>
    <row r="1731" spans="1:1" x14ac:dyDescent="0.25">
      <c r="A1731" s="7">
        <v>1695</v>
      </c>
    </row>
    <row r="1732" spans="1:1" x14ac:dyDescent="0.25">
      <c r="A1732" s="7">
        <v>1696</v>
      </c>
    </row>
    <row r="1733" spans="1:1" x14ac:dyDescent="0.25">
      <c r="A1733" s="7">
        <v>1697</v>
      </c>
    </row>
    <row r="1734" spans="1:1" x14ac:dyDescent="0.25">
      <c r="A1734" s="7">
        <v>1698</v>
      </c>
    </row>
    <row r="1735" spans="1:1" x14ac:dyDescent="0.25">
      <c r="A1735" s="7">
        <v>1699</v>
      </c>
    </row>
    <row r="1736" spans="1:1" x14ac:dyDescent="0.25">
      <c r="A1736" s="7">
        <v>1700</v>
      </c>
    </row>
    <row r="1737" spans="1:1" x14ac:dyDescent="0.25">
      <c r="A1737" s="7">
        <v>1701</v>
      </c>
    </row>
    <row r="1738" spans="1:1" x14ac:dyDescent="0.25">
      <c r="A1738" s="7">
        <v>1702</v>
      </c>
    </row>
    <row r="1739" spans="1:1" x14ac:dyDescent="0.25">
      <c r="A1739" s="7">
        <v>1703</v>
      </c>
    </row>
    <row r="1740" spans="1:1" x14ac:dyDescent="0.25">
      <c r="A1740" s="7">
        <v>1704</v>
      </c>
    </row>
    <row r="1741" spans="1:1" x14ac:dyDescent="0.25">
      <c r="A1741" s="7">
        <v>1705</v>
      </c>
    </row>
    <row r="1742" spans="1:1" x14ac:dyDescent="0.25">
      <c r="A1742" s="7">
        <v>1706</v>
      </c>
    </row>
    <row r="1743" spans="1:1" x14ac:dyDescent="0.25">
      <c r="A1743" s="7">
        <v>1707</v>
      </c>
    </row>
    <row r="1744" spans="1:1" x14ac:dyDescent="0.25">
      <c r="A1744" s="7">
        <v>1708</v>
      </c>
    </row>
    <row r="1745" spans="1:1" x14ac:dyDescent="0.25">
      <c r="A1745" s="7">
        <v>1709</v>
      </c>
    </row>
    <row r="1746" spans="1:1" x14ac:dyDescent="0.25">
      <c r="A1746" s="7">
        <v>1710</v>
      </c>
    </row>
    <row r="1747" spans="1:1" x14ac:dyDescent="0.25">
      <c r="A1747" s="7">
        <v>1711</v>
      </c>
    </row>
    <row r="1748" spans="1:1" x14ac:dyDescent="0.25">
      <c r="A1748" s="7">
        <v>1712</v>
      </c>
    </row>
    <row r="1749" spans="1:1" x14ac:dyDescent="0.25">
      <c r="A1749" s="7">
        <v>1713</v>
      </c>
    </row>
    <row r="1750" spans="1:1" x14ac:dyDescent="0.25">
      <c r="A1750" s="7">
        <v>1714</v>
      </c>
    </row>
    <row r="1751" spans="1:1" x14ac:dyDescent="0.25">
      <c r="A1751" s="7">
        <v>1715</v>
      </c>
    </row>
    <row r="1752" spans="1:1" x14ac:dyDescent="0.25">
      <c r="A1752" s="7">
        <v>1716</v>
      </c>
    </row>
    <row r="1753" spans="1:1" x14ac:dyDescent="0.25">
      <c r="A1753" s="7">
        <v>1717</v>
      </c>
    </row>
    <row r="1754" spans="1:1" x14ac:dyDescent="0.25">
      <c r="A1754" s="7">
        <v>1718</v>
      </c>
    </row>
    <row r="1755" spans="1:1" x14ac:dyDescent="0.25">
      <c r="A1755" s="7">
        <v>1719</v>
      </c>
    </row>
    <row r="1756" spans="1:1" x14ac:dyDescent="0.25">
      <c r="A1756" s="7">
        <v>1720</v>
      </c>
    </row>
    <row r="1757" spans="1:1" x14ac:dyDescent="0.25">
      <c r="A1757" s="7">
        <v>1721</v>
      </c>
    </row>
    <row r="1758" spans="1:1" x14ac:dyDescent="0.25">
      <c r="A1758" s="7">
        <v>1722</v>
      </c>
    </row>
    <row r="1759" spans="1:1" x14ac:dyDescent="0.25">
      <c r="A1759" s="7">
        <v>1723</v>
      </c>
    </row>
    <row r="1760" spans="1:1" x14ac:dyDescent="0.25">
      <c r="A1760" s="7">
        <v>1724</v>
      </c>
    </row>
    <row r="1761" spans="1:1" x14ac:dyDescent="0.25">
      <c r="A1761" s="7">
        <v>1725</v>
      </c>
    </row>
    <row r="1762" spans="1:1" x14ac:dyDescent="0.25">
      <c r="A1762" s="7">
        <v>1726</v>
      </c>
    </row>
    <row r="1763" spans="1:1" x14ac:dyDescent="0.25">
      <c r="A1763" s="7">
        <v>1727</v>
      </c>
    </row>
    <row r="1764" spans="1:1" x14ac:dyDescent="0.25">
      <c r="A1764" s="7">
        <v>1728</v>
      </c>
    </row>
    <row r="1765" spans="1:1" x14ac:dyDescent="0.25">
      <c r="A1765" s="7">
        <v>1729</v>
      </c>
    </row>
    <row r="1766" spans="1:1" x14ac:dyDescent="0.25">
      <c r="A1766" s="7">
        <v>1730</v>
      </c>
    </row>
    <row r="1767" spans="1:1" x14ac:dyDescent="0.25">
      <c r="A1767" s="7">
        <v>1731</v>
      </c>
    </row>
    <row r="1768" spans="1:1" x14ac:dyDescent="0.25">
      <c r="A1768" s="7">
        <v>1732</v>
      </c>
    </row>
    <row r="1769" spans="1:1" x14ac:dyDescent="0.25">
      <c r="A1769" s="7">
        <v>1733</v>
      </c>
    </row>
    <row r="1770" spans="1:1" x14ac:dyDescent="0.25">
      <c r="A1770" s="7">
        <v>1734</v>
      </c>
    </row>
    <row r="1771" spans="1:1" x14ac:dyDescent="0.25">
      <c r="A1771" s="7">
        <v>1735</v>
      </c>
    </row>
    <row r="1772" spans="1:1" x14ac:dyDescent="0.25">
      <c r="A1772" s="7">
        <v>1736</v>
      </c>
    </row>
    <row r="1773" spans="1:1" x14ac:dyDescent="0.25">
      <c r="A1773" s="7">
        <v>1737</v>
      </c>
    </row>
    <row r="1774" spans="1:1" x14ac:dyDescent="0.25">
      <c r="A1774" s="7">
        <v>1738</v>
      </c>
    </row>
    <row r="1775" spans="1:1" x14ac:dyDescent="0.25">
      <c r="A1775" s="7">
        <v>1739</v>
      </c>
    </row>
    <row r="1776" spans="1:1" x14ac:dyDescent="0.25">
      <c r="A1776" s="7">
        <v>1740</v>
      </c>
    </row>
    <row r="1777" spans="1:1" x14ac:dyDescent="0.25">
      <c r="A1777" s="7">
        <v>1741</v>
      </c>
    </row>
    <row r="1778" spans="1:1" x14ac:dyDescent="0.25">
      <c r="A1778" s="7">
        <v>1742</v>
      </c>
    </row>
    <row r="1779" spans="1:1" x14ac:dyDescent="0.25">
      <c r="A1779" s="7">
        <v>1743</v>
      </c>
    </row>
    <row r="1780" spans="1:1" x14ac:dyDescent="0.25">
      <c r="A1780" s="7">
        <v>1744</v>
      </c>
    </row>
    <row r="1781" spans="1:1" x14ac:dyDescent="0.25">
      <c r="A1781" s="7">
        <v>1745</v>
      </c>
    </row>
    <row r="1782" spans="1:1" x14ac:dyDescent="0.25">
      <c r="A1782" s="7">
        <v>1746</v>
      </c>
    </row>
    <row r="1783" spans="1:1" x14ac:dyDescent="0.25">
      <c r="A1783" s="7">
        <v>1747</v>
      </c>
    </row>
    <row r="1784" spans="1:1" x14ac:dyDescent="0.25">
      <c r="A1784" s="7">
        <v>1748</v>
      </c>
    </row>
    <row r="1785" spans="1:1" x14ac:dyDescent="0.25">
      <c r="A1785" s="7">
        <v>1749</v>
      </c>
    </row>
    <row r="1786" spans="1:1" x14ac:dyDescent="0.25">
      <c r="A1786" s="7">
        <v>1750</v>
      </c>
    </row>
    <row r="1787" spans="1:1" x14ac:dyDescent="0.25">
      <c r="A1787" s="7">
        <v>1751</v>
      </c>
    </row>
    <row r="1788" spans="1:1" x14ac:dyDescent="0.25">
      <c r="A1788" s="7">
        <v>1752</v>
      </c>
    </row>
    <row r="1789" spans="1:1" x14ac:dyDescent="0.25">
      <c r="A1789" s="7">
        <v>1753</v>
      </c>
    </row>
    <row r="1790" spans="1:1" x14ac:dyDescent="0.25">
      <c r="A1790" s="7">
        <v>1754</v>
      </c>
    </row>
    <row r="1791" spans="1:1" x14ac:dyDescent="0.25">
      <c r="A1791" s="7">
        <v>1755</v>
      </c>
    </row>
    <row r="1792" spans="1:1" x14ac:dyDescent="0.25">
      <c r="A1792" s="7">
        <v>1756</v>
      </c>
    </row>
    <row r="1793" spans="1:1" x14ac:dyDescent="0.25">
      <c r="A1793" s="7">
        <v>1757</v>
      </c>
    </row>
    <row r="1794" spans="1:1" x14ac:dyDescent="0.25">
      <c r="A1794" s="7">
        <v>1758</v>
      </c>
    </row>
    <row r="1795" spans="1:1" x14ac:dyDescent="0.25">
      <c r="A1795" s="7">
        <v>1759</v>
      </c>
    </row>
    <row r="1796" spans="1:1" x14ac:dyDescent="0.25">
      <c r="A1796" s="7">
        <v>1760</v>
      </c>
    </row>
    <row r="1797" spans="1:1" x14ac:dyDescent="0.25">
      <c r="A1797" s="7">
        <v>1761</v>
      </c>
    </row>
    <row r="1798" spans="1:1" x14ac:dyDescent="0.25">
      <c r="A1798" s="7">
        <v>1762</v>
      </c>
    </row>
    <row r="1799" spans="1:1" x14ac:dyDescent="0.25">
      <c r="A1799" s="7">
        <v>1763</v>
      </c>
    </row>
    <row r="1800" spans="1:1" x14ac:dyDescent="0.25">
      <c r="A1800" s="7">
        <v>1764</v>
      </c>
    </row>
    <row r="1801" spans="1:1" x14ac:dyDescent="0.25">
      <c r="A1801" s="7">
        <v>1765</v>
      </c>
    </row>
    <row r="1802" spans="1:1" x14ac:dyDescent="0.25">
      <c r="A1802" s="7">
        <v>1766</v>
      </c>
    </row>
    <row r="1803" spans="1:1" x14ac:dyDescent="0.25">
      <c r="A1803" s="7">
        <v>1767</v>
      </c>
    </row>
    <row r="1804" spans="1:1" x14ac:dyDescent="0.25">
      <c r="A1804" s="7">
        <v>1768</v>
      </c>
    </row>
    <row r="1805" spans="1:1" x14ac:dyDescent="0.25">
      <c r="A1805" s="7">
        <v>1769</v>
      </c>
    </row>
    <row r="1806" spans="1:1" x14ac:dyDescent="0.25">
      <c r="A1806" s="7">
        <v>1770</v>
      </c>
    </row>
    <row r="1807" spans="1:1" x14ac:dyDescent="0.25">
      <c r="A1807" s="7">
        <v>1771</v>
      </c>
    </row>
    <row r="1808" spans="1:1" x14ac:dyDescent="0.25">
      <c r="A1808" s="7">
        <v>1772</v>
      </c>
    </row>
    <row r="1809" spans="1:1" x14ac:dyDescent="0.25">
      <c r="A1809" s="7">
        <v>1773</v>
      </c>
    </row>
    <row r="1810" spans="1:1" x14ac:dyDescent="0.25">
      <c r="A1810" s="7">
        <v>1774</v>
      </c>
    </row>
    <row r="1811" spans="1:1" x14ac:dyDescent="0.25">
      <c r="A1811" s="7">
        <v>1775</v>
      </c>
    </row>
    <row r="1812" spans="1:1" x14ac:dyDescent="0.25">
      <c r="A1812" s="7">
        <v>1776</v>
      </c>
    </row>
    <row r="1813" spans="1:1" x14ac:dyDescent="0.25">
      <c r="A1813" s="7">
        <v>1777</v>
      </c>
    </row>
    <row r="1814" spans="1:1" x14ac:dyDescent="0.25">
      <c r="A1814" s="7">
        <v>1778</v>
      </c>
    </row>
    <row r="1815" spans="1:1" x14ac:dyDescent="0.25">
      <c r="A1815" s="7">
        <v>1779</v>
      </c>
    </row>
    <row r="1816" spans="1:1" x14ac:dyDescent="0.25">
      <c r="A1816" s="7">
        <v>1780</v>
      </c>
    </row>
    <row r="1817" spans="1:1" x14ac:dyDescent="0.25">
      <c r="A1817" s="7">
        <v>1781</v>
      </c>
    </row>
    <row r="1818" spans="1:1" x14ac:dyDescent="0.25">
      <c r="A1818" s="7">
        <v>1782</v>
      </c>
    </row>
    <row r="1819" spans="1:1" x14ac:dyDescent="0.25">
      <c r="A1819" s="7">
        <v>1783</v>
      </c>
    </row>
    <row r="1820" spans="1:1" x14ac:dyDescent="0.25">
      <c r="A1820" s="7">
        <v>1784</v>
      </c>
    </row>
    <row r="1821" spans="1:1" x14ac:dyDescent="0.25">
      <c r="A1821" s="7">
        <v>1785</v>
      </c>
    </row>
    <row r="1822" spans="1:1" x14ac:dyDescent="0.25">
      <c r="A1822" s="7">
        <v>1786</v>
      </c>
    </row>
    <row r="1823" spans="1:1" x14ac:dyDescent="0.25">
      <c r="A1823" s="7">
        <v>1787</v>
      </c>
    </row>
    <row r="1824" spans="1:1" x14ac:dyDescent="0.25">
      <c r="A1824" s="7">
        <v>1788</v>
      </c>
    </row>
    <row r="1825" spans="1:1" x14ac:dyDescent="0.25">
      <c r="A1825" s="7">
        <v>1789</v>
      </c>
    </row>
    <row r="1826" spans="1:1" x14ac:dyDescent="0.25">
      <c r="A1826" s="7">
        <v>1790</v>
      </c>
    </row>
    <row r="1827" spans="1:1" x14ac:dyDescent="0.25">
      <c r="A1827" s="7">
        <v>1791</v>
      </c>
    </row>
    <row r="1828" spans="1:1" x14ac:dyDescent="0.25">
      <c r="A1828" s="7">
        <v>1792</v>
      </c>
    </row>
    <row r="1829" spans="1:1" x14ac:dyDescent="0.25">
      <c r="A1829" s="7">
        <v>1793</v>
      </c>
    </row>
    <row r="1830" spans="1:1" x14ac:dyDescent="0.25">
      <c r="A1830" s="7">
        <v>1794</v>
      </c>
    </row>
    <row r="1831" spans="1:1" x14ac:dyDescent="0.25">
      <c r="A1831" s="7">
        <v>1795</v>
      </c>
    </row>
    <row r="1832" spans="1:1" x14ac:dyDescent="0.25">
      <c r="A1832" s="7">
        <v>1796</v>
      </c>
    </row>
    <row r="1833" spans="1:1" x14ac:dyDescent="0.25">
      <c r="A1833" s="7">
        <v>1797</v>
      </c>
    </row>
    <row r="1834" spans="1:1" x14ac:dyDescent="0.25">
      <c r="A1834" s="7">
        <v>1798</v>
      </c>
    </row>
    <row r="1835" spans="1:1" x14ac:dyDescent="0.25">
      <c r="A1835" s="7">
        <v>1799</v>
      </c>
    </row>
    <row r="1836" spans="1:1" x14ac:dyDescent="0.25">
      <c r="A1836" s="7">
        <v>1800</v>
      </c>
    </row>
    <row r="1837" spans="1:1" x14ac:dyDescent="0.25">
      <c r="A1837" s="7">
        <v>1801</v>
      </c>
    </row>
    <row r="1838" spans="1:1" x14ac:dyDescent="0.25">
      <c r="A1838" s="7">
        <v>1802</v>
      </c>
    </row>
    <row r="1839" spans="1:1" x14ac:dyDescent="0.25">
      <c r="A1839" s="7">
        <v>1803</v>
      </c>
    </row>
    <row r="1840" spans="1:1" x14ac:dyDescent="0.25">
      <c r="A1840" s="7">
        <v>1804</v>
      </c>
    </row>
    <row r="1841" spans="1:1" x14ac:dyDescent="0.25">
      <c r="A1841" s="7">
        <v>1805</v>
      </c>
    </row>
    <row r="1842" spans="1:1" x14ac:dyDescent="0.25">
      <c r="A1842" s="7">
        <v>1806</v>
      </c>
    </row>
    <row r="1843" spans="1:1" x14ac:dyDescent="0.25">
      <c r="A1843" s="7">
        <v>1807</v>
      </c>
    </row>
    <row r="1844" spans="1:1" x14ac:dyDescent="0.25">
      <c r="A1844" s="7">
        <v>1808</v>
      </c>
    </row>
    <row r="1845" spans="1:1" x14ac:dyDescent="0.25">
      <c r="A1845" s="7">
        <v>1809</v>
      </c>
    </row>
    <row r="1846" spans="1:1" x14ac:dyDescent="0.25">
      <c r="A1846" s="7">
        <v>1810</v>
      </c>
    </row>
    <row r="1847" spans="1:1" x14ac:dyDescent="0.25">
      <c r="A1847" s="7">
        <v>1811</v>
      </c>
    </row>
    <row r="1848" spans="1:1" x14ac:dyDescent="0.25">
      <c r="A1848" s="7">
        <v>1812</v>
      </c>
    </row>
    <row r="1849" spans="1:1" x14ac:dyDescent="0.25">
      <c r="A1849" s="7">
        <v>1813</v>
      </c>
    </row>
    <row r="1850" spans="1:1" x14ac:dyDescent="0.25">
      <c r="A1850" s="7">
        <v>1814</v>
      </c>
    </row>
    <row r="1851" spans="1:1" x14ac:dyDescent="0.25">
      <c r="A1851" s="7">
        <v>1815</v>
      </c>
    </row>
    <row r="1852" spans="1:1" x14ac:dyDescent="0.25">
      <c r="A1852" s="7">
        <v>1816</v>
      </c>
    </row>
    <row r="1853" spans="1:1" x14ac:dyDescent="0.25">
      <c r="A1853" s="7">
        <v>1817</v>
      </c>
    </row>
    <row r="1854" spans="1:1" x14ac:dyDescent="0.25">
      <c r="A1854" s="7">
        <v>1818</v>
      </c>
    </row>
    <row r="1855" spans="1:1" x14ac:dyDescent="0.25">
      <c r="A1855" s="7">
        <v>1819</v>
      </c>
    </row>
    <row r="1856" spans="1:1" x14ac:dyDescent="0.25">
      <c r="A1856" s="7">
        <v>1820</v>
      </c>
    </row>
    <row r="1857" spans="1:1" x14ac:dyDescent="0.25">
      <c r="A1857" s="7">
        <v>1821</v>
      </c>
    </row>
    <row r="1858" spans="1:1" x14ac:dyDescent="0.25">
      <c r="A1858" s="7">
        <v>1822</v>
      </c>
    </row>
    <row r="1859" spans="1:1" x14ac:dyDescent="0.25">
      <c r="A1859" s="7">
        <v>1823</v>
      </c>
    </row>
    <row r="1860" spans="1:1" x14ac:dyDescent="0.25">
      <c r="A1860" s="7">
        <v>1824</v>
      </c>
    </row>
    <row r="1861" spans="1:1" x14ac:dyDescent="0.25">
      <c r="A1861" s="7">
        <v>1825</v>
      </c>
    </row>
    <row r="1862" spans="1:1" x14ac:dyDescent="0.25">
      <c r="A1862" s="7">
        <v>1826</v>
      </c>
    </row>
    <row r="1863" spans="1:1" x14ac:dyDescent="0.25">
      <c r="A1863" s="7">
        <v>1827</v>
      </c>
    </row>
    <row r="1864" spans="1:1" x14ac:dyDescent="0.25">
      <c r="A1864" s="7">
        <v>1828</v>
      </c>
    </row>
    <row r="1865" spans="1:1" x14ac:dyDescent="0.25">
      <c r="A1865" s="7">
        <v>1829</v>
      </c>
    </row>
    <row r="1866" spans="1:1" x14ac:dyDescent="0.25">
      <c r="A1866" s="7">
        <v>1830</v>
      </c>
    </row>
    <row r="1867" spans="1:1" x14ac:dyDescent="0.25">
      <c r="A1867" s="7">
        <v>1831</v>
      </c>
    </row>
    <row r="1868" spans="1:1" x14ac:dyDescent="0.25">
      <c r="A1868" s="7">
        <v>1832</v>
      </c>
    </row>
    <row r="1869" spans="1:1" x14ac:dyDescent="0.25">
      <c r="A1869" s="7">
        <v>1833</v>
      </c>
    </row>
    <row r="1870" spans="1:1" x14ac:dyDescent="0.25">
      <c r="A1870" s="7">
        <v>1834</v>
      </c>
    </row>
    <row r="1871" spans="1:1" x14ac:dyDescent="0.25">
      <c r="A1871" s="7">
        <v>1835</v>
      </c>
    </row>
    <row r="1872" spans="1:1" x14ac:dyDescent="0.25">
      <c r="A1872" s="7">
        <v>1836</v>
      </c>
    </row>
    <row r="1873" spans="1:1" x14ac:dyDescent="0.25">
      <c r="A1873" s="7">
        <v>1837</v>
      </c>
    </row>
    <row r="1874" spans="1:1" x14ac:dyDescent="0.25">
      <c r="A1874" s="7">
        <v>1838</v>
      </c>
    </row>
    <row r="1875" spans="1:1" x14ac:dyDescent="0.25">
      <c r="A1875" s="7">
        <v>1839</v>
      </c>
    </row>
    <row r="1876" spans="1:1" x14ac:dyDescent="0.25">
      <c r="A1876" s="7">
        <v>1840</v>
      </c>
    </row>
    <row r="1877" spans="1:1" x14ac:dyDescent="0.25">
      <c r="A1877" s="7">
        <v>1841</v>
      </c>
    </row>
    <row r="1878" spans="1:1" x14ac:dyDescent="0.25">
      <c r="A1878" s="7">
        <v>1842</v>
      </c>
    </row>
    <row r="1879" spans="1:1" x14ac:dyDescent="0.25">
      <c r="A1879" s="7">
        <v>1843</v>
      </c>
    </row>
    <row r="1880" spans="1:1" x14ac:dyDescent="0.25">
      <c r="A1880" s="7">
        <v>1844</v>
      </c>
    </row>
    <row r="1881" spans="1:1" x14ac:dyDescent="0.25">
      <c r="A1881" s="7">
        <v>1845</v>
      </c>
    </row>
    <row r="1882" spans="1:1" x14ac:dyDescent="0.25">
      <c r="A1882" s="7">
        <v>1846</v>
      </c>
    </row>
    <row r="1883" spans="1:1" x14ac:dyDescent="0.25">
      <c r="A1883" s="7">
        <v>1847</v>
      </c>
    </row>
    <row r="1884" spans="1:1" x14ac:dyDescent="0.25">
      <c r="A1884" s="7">
        <v>1848</v>
      </c>
    </row>
    <row r="1885" spans="1:1" x14ac:dyDescent="0.25">
      <c r="A1885" s="7">
        <v>1849</v>
      </c>
    </row>
    <row r="1886" spans="1:1" x14ac:dyDescent="0.25">
      <c r="A1886" s="7">
        <v>1850</v>
      </c>
    </row>
    <row r="1887" spans="1:1" x14ac:dyDescent="0.25">
      <c r="A1887" s="7">
        <v>1851</v>
      </c>
    </row>
    <row r="1888" spans="1:1" x14ac:dyDescent="0.25">
      <c r="A1888" s="7">
        <v>1852</v>
      </c>
    </row>
    <row r="1889" spans="1:1" x14ac:dyDescent="0.25">
      <c r="A1889" s="7">
        <v>1853</v>
      </c>
    </row>
    <row r="1890" spans="1:1" x14ac:dyDescent="0.25">
      <c r="A1890" s="7">
        <v>1854</v>
      </c>
    </row>
    <row r="1891" spans="1:1" x14ac:dyDescent="0.25">
      <c r="A1891" s="7">
        <v>1855</v>
      </c>
    </row>
    <row r="1892" spans="1:1" x14ac:dyDescent="0.25">
      <c r="A1892" s="7">
        <v>1856</v>
      </c>
    </row>
    <row r="1893" spans="1:1" x14ac:dyDescent="0.25">
      <c r="A1893" s="7">
        <v>1857</v>
      </c>
    </row>
    <row r="1894" spans="1:1" x14ac:dyDescent="0.25">
      <c r="A1894" s="7">
        <v>1858</v>
      </c>
    </row>
    <row r="1895" spans="1:1" x14ac:dyDescent="0.25">
      <c r="A1895" s="7">
        <v>1859</v>
      </c>
    </row>
    <row r="1896" spans="1:1" x14ac:dyDescent="0.25">
      <c r="A1896" s="7">
        <v>1860</v>
      </c>
    </row>
    <row r="1897" spans="1:1" x14ac:dyDescent="0.25">
      <c r="A1897" s="7">
        <v>1861</v>
      </c>
    </row>
    <row r="1898" spans="1:1" x14ac:dyDescent="0.25">
      <c r="A1898" s="7">
        <v>1862</v>
      </c>
    </row>
    <row r="1899" spans="1:1" x14ac:dyDescent="0.25">
      <c r="A1899" s="7">
        <v>1863</v>
      </c>
    </row>
    <row r="1900" spans="1:1" x14ac:dyDescent="0.25">
      <c r="A1900" s="7">
        <v>1864</v>
      </c>
    </row>
    <row r="1901" spans="1:1" x14ac:dyDescent="0.25">
      <c r="A1901" s="7">
        <v>1865</v>
      </c>
    </row>
    <row r="1902" spans="1:1" x14ac:dyDescent="0.25">
      <c r="A1902" s="7">
        <v>1866</v>
      </c>
    </row>
    <row r="1903" spans="1:1" x14ac:dyDescent="0.25">
      <c r="A1903" s="7">
        <v>1867</v>
      </c>
    </row>
    <row r="1904" spans="1:1" x14ac:dyDescent="0.25">
      <c r="A1904" s="7">
        <v>1868</v>
      </c>
    </row>
    <row r="1905" spans="1:1" x14ac:dyDescent="0.25">
      <c r="A1905" s="7">
        <v>1869</v>
      </c>
    </row>
    <row r="1906" spans="1:1" x14ac:dyDescent="0.25">
      <c r="A1906" s="7">
        <v>1870</v>
      </c>
    </row>
    <row r="1907" spans="1:1" x14ac:dyDescent="0.25">
      <c r="A1907" s="7">
        <v>1871</v>
      </c>
    </row>
    <row r="1908" spans="1:1" x14ac:dyDescent="0.25">
      <c r="A1908" s="7">
        <v>1872</v>
      </c>
    </row>
    <row r="1909" spans="1:1" x14ac:dyDescent="0.25">
      <c r="A1909" s="7">
        <v>1873</v>
      </c>
    </row>
    <row r="1910" spans="1:1" x14ac:dyDescent="0.25">
      <c r="A1910" s="7">
        <v>1874</v>
      </c>
    </row>
    <row r="1911" spans="1:1" x14ac:dyDescent="0.25">
      <c r="A1911" s="7">
        <v>1875</v>
      </c>
    </row>
    <row r="1912" spans="1:1" x14ac:dyDescent="0.25">
      <c r="A1912" s="7">
        <v>1876</v>
      </c>
    </row>
    <row r="1913" spans="1:1" x14ac:dyDescent="0.25">
      <c r="A1913" s="7">
        <v>1877</v>
      </c>
    </row>
    <row r="1914" spans="1:1" x14ac:dyDescent="0.25">
      <c r="A1914" s="7">
        <v>1878</v>
      </c>
    </row>
    <row r="1915" spans="1:1" x14ac:dyDescent="0.25">
      <c r="A1915" s="7">
        <v>1879</v>
      </c>
    </row>
    <row r="1916" spans="1:1" x14ac:dyDescent="0.25">
      <c r="A1916" s="7">
        <v>1880</v>
      </c>
    </row>
    <row r="1917" spans="1:1" x14ac:dyDescent="0.25">
      <c r="A1917" s="7">
        <v>1881</v>
      </c>
    </row>
    <row r="1918" spans="1:1" x14ac:dyDescent="0.25">
      <c r="A1918" s="7">
        <v>1882</v>
      </c>
    </row>
    <row r="1919" spans="1:1" x14ac:dyDescent="0.25">
      <c r="A1919" s="7">
        <v>1883</v>
      </c>
    </row>
    <row r="1920" spans="1:1" x14ac:dyDescent="0.25">
      <c r="A1920" s="7">
        <v>1884</v>
      </c>
    </row>
    <row r="1921" spans="1:1" x14ac:dyDescent="0.25">
      <c r="A1921" s="7">
        <v>1885</v>
      </c>
    </row>
    <row r="1922" spans="1:1" x14ac:dyDescent="0.25">
      <c r="A1922" s="7">
        <v>1886</v>
      </c>
    </row>
    <row r="1923" spans="1:1" x14ac:dyDescent="0.25">
      <c r="A1923" s="7">
        <v>1887</v>
      </c>
    </row>
    <row r="1924" spans="1:1" x14ac:dyDescent="0.25">
      <c r="A1924" s="7">
        <v>1888</v>
      </c>
    </row>
    <row r="1925" spans="1:1" x14ac:dyDescent="0.25">
      <c r="A1925" s="7">
        <v>1889</v>
      </c>
    </row>
    <row r="1926" spans="1:1" x14ac:dyDescent="0.25">
      <c r="A1926" s="7">
        <v>1890</v>
      </c>
    </row>
    <row r="1927" spans="1:1" x14ac:dyDescent="0.25">
      <c r="A1927" s="7">
        <v>1891</v>
      </c>
    </row>
    <row r="1928" spans="1:1" x14ac:dyDescent="0.25">
      <c r="A1928" s="7">
        <v>1892</v>
      </c>
    </row>
    <row r="1929" spans="1:1" x14ac:dyDescent="0.25">
      <c r="A1929" s="7">
        <v>1893</v>
      </c>
    </row>
    <row r="1930" spans="1:1" x14ac:dyDescent="0.25">
      <c r="A1930" s="7">
        <v>1894</v>
      </c>
    </row>
    <row r="1931" spans="1:1" x14ac:dyDescent="0.25">
      <c r="A1931" s="7">
        <v>1895</v>
      </c>
    </row>
    <row r="1932" spans="1:1" x14ac:dyDescent="0.25">
      <c r="A1932" s="7">
        <v>1896</v>
      </c>
    </row>
    <row r="1933" spans="1:1" x14ac:dyDescent="0.25">
      <c r="A1933" s="7">
        <v>1897</v>
      </c>
    </row>
    <row r="1934" spans="1:1" x14ac:dyDescent="0.25">
      <c r="A1934" s="7">
        <v>1898</v>
      </c>
    </row>
    <row r="1935" spans="1:1" x14ac:dyDescent="0.25">
      <c r="A1935" s="7">
        <v>1899</v>
      </c>
    </row>
    <row r="1936" spans="1:1" x14ac:dyDescent="0.25">
      <c r="A1936" s="7">
        <v>1900</v>
      </c>
    </row>
    <row r="1937" spans="1:1" x14ac:dyDescent="0.25">
      <c r="A1937" s="7">
        <v>1901</v>
      </c>
    </row>
    <row r="1938" spans="1:1" x14ac:dyDescent="0.25">
      <c r="A1938" s="7">
        <v>1902</v>
      </c>
    </row>
    <row r="1939" spans="1:1" x14ac:dyDescent="0.25">
      <c r="A1939" s="7">
        <v>1903</v>
      </c>
    </row>
    <row r="1940" spans="1:1" x14ac:dyDescent="0.25">
      <c r="A1940" s="7">
        <v>1904</v>
      </c>
    </row>
    <row r="1941" spans="1:1" x14ac:dyDescent="0.25">
      <c r="A1941" s="7">
        <v>1905</v>
      </c>
    </row>
    <row r="1942" spans="1:1" x14ac:dyDescent="0.25">
      <c r="A1942" s="7">
        <v>1906</v>
      </c>
    </row>
    <row r="1943" spans="1:1" x14ac:dyDescent="0.25">
      <c r="A1943" s="7">
        <v>1907</v>
      </c>
    </row>
    <row r="1944" spans="1:1" x14ac:dyDescent="0.25">
      <c r="A1944" s="7">
        <v>1908</v>
      </c>
    </row>
    <row r="1945" spans="1:1" x14ac:dyDescent="0.25">
      <c r="A1945" s="7">
        <v>1909</v>
      </c>
    </row>
    <row r="1946" spans="1:1" x14ac:dyDescent="0.25">
      <c r="A1946" s="7">
        <v>1910</v>
      </c>
    </row>
    <row r="1947" spans="1:1" x14ac:dyDescent="0.25">
      <c r="A1947" s="7">
        <v>1911</v>
      </c>
    </row>
    <row r="1948" spans="1:1" x14ac:dyDescent="0.25">
      <c r="A1948" s="7">
        <v>1912</v>
      </c>
    </row>
    <row r="1949" spans="1:1" x14ac:dyDescent="0.25">
      <c r="A1949" s="7">
        <v>1913</v>
      </c>
    </row>
    <row r="1950" spans="1:1" x14ac:dyDescent="0.25">
      <c r="A1950" s="7">
        <v>1914</v>
      </c>
    </row>
    <row r="1951" spans="1:1" x14ac:dyDescent="0.25">
      <c r="A1951" s="7">
        <v>1915</v>
      </c>
    </row>
    <row r="1952" spans="1:1" x14ac:dyDescent="0.25">
      <c r="A1952" s="7">
        <v>1916</v>
      </c>
    </row>
    <row r="1953" spans="1:1" x14ac:dyDescent="0.25">
      <c r="A1953" s="7">
        <v>1917</v>
      </c>
    </row>
    <row r="1954" spans="1:1" x14ac:dyDescent="0.25">
      <c r="A1954" s="7">
        <v>1918</v>
      </c>
    </row>
    <row r="1955" spans="1:1" x14ac:dyDescent="0.25">
      <c r="A1955" s="7">
        <v>1919</v>
      </c>
    </row>
    <row r="1956" spans="1:1" x14ac:dyDescent="0.25">
      <c r="A1956" s="7">
        <v>1920</v>
      </c>
    </row>
    <row r="1957" spans="1:1" x14ac:dyDescent="0.25">
      <c r="A1957" s="7">
        <v>1921</v>
      </c>
    </row>
    <row r="1958" spans="1:1" x14ac:dyDescent="0.25">
      <c r="A1958" s="7">
        <v>1922</v>
      </c>
    </row>
    <row r="1959" spans="1:1" x14ac:dyDescent="0.25">
      <c r="A1959" s="7">
        <v>1923</v>
      </c>
    </row>
    <row r="1960" spans="1:1" x14ac:dyDescent="0.25">
      <c r="A1960" s="7">
        <v>1924</v>
      </c>
    </row>
    <row r="1961" spans="1:1" x14ac:dyDescent="0.25">
      <c r="A1961" s="7">
        <v>1925</v>
      </c>
    </row>
    <row r="1962" spans="1:1" x14ac:dyDescent="0.25">
      <c r="A1962" s="7">
        <v>1926</v>
      </c>
    </row>
    <row r="1963" spans="1:1" x14ac:dyDescent="0.25">
      <c r="A1963" s="7">
        <v>1927</v>
      </c>
    </row>
    <row r="1964" spans="1:1" x14ac:dyDescent="0.25">
      <c r="A1964" s="7">
        <v>1928</v>
      </c>
    </row>
    <row r="1965" spans="1:1" x14ac:dyDescent="0.25">
      <c r="A1965" s="7">
        <v>1929</v>
      </c>
    </row>
  </sheetData>
  <autoFilter ref="A2:J1965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 filterMode="1"/>
  <dimension ref="A1:M82"/>
  <sheetViews>
    <sheetView zoomScale="115" zoomScaleNormal="115" workbookViewId="0">
      <selection activeCell="E1" sqref="E1"/>
    </sheetView>
  </sheetViews>
  <sheetFormatPr defaultColWidth="9.140625" defaultRowHeight="16.5" x14ac:dyDescent="0.3"/>
  <cols>
    <col min="1" max="1" width="28" style="3" customWidth="1"/>
    <col min="2" max="2" width="10" style="3" customWidth="1"/>
    <col min="3" max="3" width="9.140625" style="3" customWidth="1"/>
    <col min="4" max="4" width="8.42578125" style="3" customWidth="1"/>
    <col min="5" max="5" width="24.5703125" style="3" customWidth="1"/>
    <col min="6" max="6" width="13.28515625" style="3" customWidth="1"/>
    <col min="7" max="7" width="20" style="3" customWidth="1"/>
    <col min="8" max="8" width="9.85546875" style="3" bestFit="1" customWidth="1"/>
    <col min="9" max="9" width="9.140625" style="3"/>
    <col min="10" max="10" width="17.85546875" style="3" customWidth="1"/>
    <col min="11" max="16384" width="9.140625" style="3"/>
  </cols>
  <sheetData>
    <row r="1" spans="1:7" x14ac:dyDescent="0.3">
      <c r="A1" s="95" t="s">
        <v>1608</v>
      </c>
      <c r="E1" s="100" t="s">
        <v>1609</v>
      </c>
    </row>
    <row r="2" spans="1:7" ht="17.25" thickBot="1" x14ac:dyDescent="0.35"/>
    <row r="3" spans="1:7" ht="17.25" thickBot="1" x14ac:dyDescent="0.35">
      <c r="A3" s="96" t="s">
        <v>1584</v>
      </c>
      <c r="B3" s="97" t="s">
        <v>0</v>
      </c>
      <c r="C3" s="98" t="s">
        <v>1</v>
      </c>
      <c r="D3" s="98" t="s">
        <v>2</v>
      </c>
      <c r="E3" s="98" t="s">
        <v>3</v>
      </c>
      <c r="F3" s="98" t="s">
        <v>4</v>
      </c>
      <c r="G3" s="99" t="s">
        <v>5</v>
      </c>
    </row>
    <row r="4" spans="1:7" x14ac:dyDescent="0.3">
      <c r="A4" s="83" t="s">
        <v>6</v>
      </c>
      <c r="B4" s="81">
        <v>4.25</v>
      </c>
      <c r="C4" s="79">
        <v>6.1200000000000019</v>
      </c>
      <c r="D4" s="79">
        <v>13.550000000000006</v>
      </c>
      <c r="E4" s="79">
        <v>31557.11</v>
      </c>
      <c r="F4" s="79">
        <v>4918</v>
      </c>
      <c r="G4" s="88">
        <v>23</v>
      </c>
    </row>
    <row r="5" spans="1:7" hidden="1" x14ac:dyDescent="0.3">
      <c r="A5" s="75" t="s">
        <v>7</v>
      </c>
      <c r="B5" s="49">
        <v>4.8</v>
      </c>
      <c r="C5" s="49">
        <v>6.58</v>
      </c>
      <c r="D5" s="49">
        <v>6.9</v>
      </c>
      <c r="E5" s="49">
        <v>989.48</v>
      </c>
      <c r="F5" s="49">
        <v>181</v>
      </c>
      <c r="G5" s="76">
        <v>5</v>
      </c>
    </row>
    <row r="6" spans="1:7" x14ac:dyDescent="0.3">
      <c r="A6" s="91" t="s">
        <v>8</v>
      </c>
      <c r="B6" s="92">
        <v>4.9000000000000012</v>
      </c>
      <c r="C6" s="93">
        <v>8.4000000000000021</v>
      </c>
      <c r="D6" s="93">
        <v>14</v>
      </c>
      <c r="E6" s="93">
        <v>60439.76</v>
      </c>
      <c r="F6" s="93">
        <v>6220</v>
      </c>
      <c r="G6" s="94">
        <v>21</v>
      </c>
    </row>
    <row r="7" spans="1:7" x14ac:dyDescent="0.3">
      <c r="A7" s="91" t="s">
        <v>9</v>
      </c>
      <c r="B7" s="92">
        <v>5.1899999999999986</v>
      </c>
      <c r="C7" s="93">
        <v>8.5</v>
      </c>
      <c r="D7" s="93">
        <v>21.949999999999992</v>
      </c>
      <c r="E7" s="93">
        <v>37819.019999999997</v>
      </c>
      <c r="F7" s="93">
        <v>4296</v>
      </c>
      <c r="G7" s="94">
        <v>14</v>
      </c>
    </row>
    <row r="8" spans="1:7" hidden="1" x14ac:dyDescent="0.3">
      <c r="A8" s="75" t="s">
        <v>14</v>
      </c>
      <c r="B8" s="49">
        <v>11.58</v>
      </c>
      <c r="C8" s="49">
        <v>11.58</v>
      </c>
      <c r="D8" s="49">
        <v>11.58</v>
      </c>
      <c r="E8" s="49">
        <v>891.66</v>
      </c>
      <c r="F8" s="49">
        <v>77</v>
      </c>
      <c r="G8" s="76">
        <v>1</v>
      </c>
    </row>
    <row r="9" spans="1:7" hidden="1" x14ac:dyDescent="0.3">
      <c r="A9" s="75" t="s">
        <v>15</v>
      </c>
      <c r="B9" s="49">
        <v>12</v>
      </c>
      <c r="C9" s="49">
        <v>12</v>
      </c>
      <c r="D9" s="49">
        <v>12</v>
      </c>
      <c r="E9" s="49">
        <v>12</v>
      </c>
      <c r="F9" s="49">
        <v>1</v>
      </c>
      <c r="G9" s="76">
        <v>1</v>
      </c>
    </row>
    <row r="10" spans="1:7" hidden="1" x14ac:dyDescent="0.3">
      <c r="A10" s="75" t="s">
        <v>13</v>
      </c>
      <c r="B10" s="49">
        <v>11.272500000000001</v>
      </c>
      <c r="C10" s="49">
        <v>12.745000000000001</v>
      </c>
      <c r="D10" s="49">
        <v>14.217499999999999</v>
      </c>
      <c r="E10" s="49">
        <v>1274.8</v>
      </c>
      <c r="F10" s="49">
        <v>82</v>
      </c>
      <c r="G10" s="76">
        <v>2</v>
      </c>
    </row>
    <row r="11" spans="1:7" hidden="1" x14ac:dyDescent="0.3">
      <c r="A11" s="75" t="s">
        <v>10</v>
      </c>
      <c r="B11" s="49">
        <v>7.9050000000000002</v>
      </c>
      <c r="C11" s="49">
        <v>13</v>
      </c>
      <c r="D11" s="49">
        <v>16.75</v>
      </c>
      <c r="E11" s="49">
        <v>1860.0900000000001</v>
      </c>
      <c r="F11" s="49">
        <v>223</v>
      </c>
      <c r="G11" s="76">
        <v>7</v>
      </c>
    </row>
    <row r="12" spans="1:7" hidden="1" x14ac:dyDescent="0.3">
      <c r="A12" s="75" t="s">
        <v>18</v>
      </c>
      <c r="B12" s="49">
        <v>19</v>
      </c>
      <c r="C12" s="49">
        <v>19</v>
      </c>
      <c r="D12" s="49">
        <v>19</v>
      </c>
      <c r="E12" s="49">
        <v>38</v>
      </c>
      <c r="F12" s="49">
        <v>2</v>
      </c>
      <c r="G12" s="76">
        <v>1</v>
      </c>
    </row>
    <row r="13" spans="1:7" x14ac:dyDescent="0.3">
      <c r="A13" s="91" t="s">
        <v>16</v>
      </c>
      <c r="B13" s="92">
        <v>14.8</v>
      </c>
      <c r="C13" s="93">
        <v>19.5</v>
      </c>
      <c r="D13" s="93">
        <v>31.25</v>
      </c>
      <c r="E13" s="93">
        <v>5564.65</v>
      </c>
      <c r="F13" s="93">
        <v>211</v>
      </c>
      <c r="G13" s="94">
        <v>10</v>
      </c>
    </row>
    <row r="14" spans="1:7" x14ac:dyDescent="0.3">
      <c r="A14" s="84" t="s">
        <v>11</v>
      </c>
      <c r="B14" s="82">
        <v>9.8249999999999993</v>
      </c>
      <c r="C14" s="78">
        <v>21.139999999999993</v>
      </c>
      <c r="D14" s="78">
        <v>248.75</v>
      </c>
      <c r="E14" s="78">
        <v>11904.96</v>
      </c>
      <c r="F14" s="78">
        <v>339</v>
      </c>
      <c r="G14" s="89">
        <v>16</v>
      </c>
    </row>
    <row r="15" spans="1:7" hidden="1" x14ac:dyDescent="0.3">
      <c r="A15" s="75" t="s">
        <v>19</v>
      </c>
      <c r="B15" s="49">
        <v>21.64</v>
      </c>
      <c r="C15" s="49">
        <v>21.64</v>
      </c>
      <c r="D15" s="49">
        <v>21.64</v>
      </c>
      <c r="E15" s="49">
        <v>779.04</v>
      </c>
      <c r="F15" s="49">
        <v>36</v>
      </c>
      <c r="G15" s="76">
        <v>1</v>
      </c>
    </row>
    <row r="16" spans="1:7" hidden="1" x14ac:dyDescent="0.3">
      <c r="A16" s="75" t="s">
        <v>12</v>
      </c>
      <c r="B16" s="49">
        <v>10.06</v>
      </c>
      <c r="C16" s="49">
        <v>22.94</v>
      </c>
      <c r="D16" s="49">
        <v>48.75</v>
      </c>
      <c r="E16" s="49">
        <v>1566.72</v>
      </c>
      <c r="F16" s="49">
        <v>87</v>
      </c>
      <c r="G16" s="76">
        <v>7</v>
      </c>
    </row>
    <row r="17" spans="1:7" hidden="1" x14ac:dyDescent="0.3">
      <c r="A17" s="75" t="s">
        <v>22</v>
      </c>
      <c r="B17" s="49">
        <v>25.274999999999999</v>
      </c>
      <c r="C17" s="49">
        <v>25.35</v>
      </c>
      <c r="D17" s="49">
        <v>25.425000000000001</v>
      </c>
      <c r="E17" s="49">
        <v>303</v>
      </c>
      <c r="F17" s="49">
        <v>12</v>
      </c>
      <c r="G17" s="76">
        <v>2</v>
      </c>
    </row>
    <row r="18" spans="1:7" hidden="1" x14ac:dyDescent="0.3">
      <c r="A18" s="75" t="s">
        <v>21</v>
      </c>
      <c r="B18" s="49">
        <v>23.924999999999997</v>
      </c>
      <c r="C18" s="49">
        <v>25.45</v>
      </c>
      <c r="D18" s="49">
        <v>26.975000000000001</v>
      </c>
      <c r="E18" s="49">
        <v>1272.5</v>
      </c>
      <c r="F18" s="49">
        <v>50</v>
      </c>
      <c r="G18" s="76">
        <v>2</v>
      </c>
    </row>
    <row r="19" spans="1:7" x14ac:dyDescent="0.3">
      <c r="A19" s="91" t="s">
        <v>20</v>
      </c>
      <c r="B19" s="92">
        <v>22.082499999999985</v>
      </c>
      <c r="C19" s="93">
        <v>31.150000000000052</v>
      </c>
      <c r="D19" s="93">
        <v>48.125</v>
      </c>
      <c r="E19" s="93">
        <v>192244.28</v>
      </c>
      <c r="F19" s="93">
        <v>3821</v>
      </c>
      <c r="G19" s="94">
        <v>96</v>
      </c>
    </row>
    <row r="20" spans="1:7" hidden="1" x14ac:dyDescent="0.3">
      <c r="A20" s="75" t="s">
        <v>25</v>
      </c>
      <c r="B20" s="49">
        <v>33.465000000000003</v>
      </c>
      <c r="C20" s="49">
        <v>34.58</v>
      </c>
      <c r="D20" s="49">
        <v>35.695</v>
      </c>
      <c r="E20" s="49">
        <v>12661.1</v>
      </c>
      <c r="F20" s="49">
        <v>390</v>
      </c>
      <c r="G20" s="76">
        <v>2</v>
      </c>
    </row>
    <row r="21" spans="1:7" hidden="1" x14ac:dyDescent="0.3">
      <c r="A21" s="75" t="s">
        <v>24</v>
      </c>
      <c r="B21" s="49">
        <v>30.125</v>
      </c>
      <c r="C21" s="49">
        <v>34.75</v>
      </c>
      <c r="D21" s="49">
        <v>39.375</v>
      </c>
      <c r="E21" s="49">
        <v>69.5</v>
      </c>
      <c r="F21" s="49">
        <v>2</v>
      </c>
      <c r="G21" s="76">
        <v>2</v>
      </c>
    </row>
    <row r="22" spans="1:7" hidden="1" x14ac:dyDescent="0.3">
      <c r="A22" s="75" t="s">
        <v>29</v>
      </c>
      <c r="B22" s="49">
        <v>41.7</v>
      </c>
      <c r="C22" s="49">
        <v>41.7</v>
      </c>
      <c r="D22" s="49">
        <v>41.7</v>
      </c>
      <c r="E22" s="49">
        <v>41.7</v>
      </c>
      <c r="F22" s="49">
        <v>1</v>
      </c>
      <c r="G22" s="76">
        <v>1</v>
      </c>
    </row>
    <row r="23" spans="1:7" hidden="1" x14ac:dyDescent="0.3">
      <c r="A23" s="75" t="s">
        <v>28</v>
      </c>
      <c r="B23" s="49">
        <v>40.5</v>
      </c>
      <c r="C23" s="49">
        <v>43.389999999999993</v>
      </c>
      <c r="D23" s="49">
        <v>69.25</v>
      </c>
      <c r="E23" s="49">
        <v>8182.56</v>
      </c>
      <c r="F23" s="49">
        <v>77</v>
      </c>
      <c r="G23" s="76">
        <v>8</v>
      </c>
    </row>
    <row r="24" spans="1:7" hidden="1" x14ac:dyDescent="0.3">
      <c r="A24" s="75" t="s">
        <v>23</v>
      </c>
      <c r="B24" s="49">
        <v>28.484999999999999</v>
      </c>
      <c r="C24" s="49">
        <v>48.75</v>
      </c>
      <c r="D24" s="49">
        <v>71.75</v>
      </c>
      <c r="E24" s="49">
        <v>10576.42</v>
      </c>
      <c r="F24" s="49">
        <v>189</v>
      </c>
      <c r="G24" s="76">
        <v>4</v>
      </c>
    </row>
    <row r="25" spans="1:7" x14ac:dyDescent="0.3">
      <c r="A25" s="91" t="s">
        <v>27</v>
      </c>
      <c r="B25" s="92">
        <v>35.865000000000002</v>
      </c>
      <c r="C25" s="93">
        <v>54.649999999999984</v>
      </c>
      <c r="D25" s="93">
        <v>66.5</v>
      </c>
      <c r="E25" s="93">
        <v>20456.816666666666</v>
      </c>
      <c r="F25" s="93">
        <v>547</v>
      </c>
      <c r="G25" s="94">
        <v>19</v>
      </c>
    </row>
    <row r="26" spans="1:7" hidden="1" x14ac:dyDescent="0.3">
      <c r="A26" s="75" t="s">
        <v>26</v>
      </c>
      <c r="B26" s="49">
        <v>34.0625</v>
      </c>
      <c r="C26" s="49">
        <v>68.2</v>
      </c>
      <c r="D26" s="49">
        <v>133.05000000000001</v>
      </c>
      <c r="E26" s="49">
        <v>2163.25</v>
      </c>
      <c r="F26" s="49">
        <v>25</v>
      </c>
      <c r="G26" s="76">
        <v>4</v>
      </c>
    </row>
    <row r="27" spans="1:7" x14ac:dyDescent="0.3">
      <c r="A27" s="91" t="s">
        <v>34</v>
      </c>
      <c r="B27" s="92">
        <v>69.75</v>
      </c>
      <c r="C27" s="93">
        <v>86</v>
      </c>
      <c r="D27" s="93">
        <v>144</v>
      </c>
      <c r="E27" s="93">
        <v>9404</v>
      </c>
      <c r="F27" s="93">
        <v>63</v>
      </c>
      <c r="G27" s="94">
        <v>14</v>
      </c>
    </row>
    <row r="28" spans="1:7" x14ac:dyDescent="0.3">
      <c r="A28" s="84" t="s">
        <v>30</v>
      </c>
      <c r="B28" s="82">
        <v>47.470000000000013</v>
      </c>
      <c r="C28" s="78">
        <v>86.690000000000026</v>
      </c>
      <c r="D28" s="78">
        <v>146.42500000000001</v>
      </c>
      <c r="E28" s="78">
        <v>13368.95</v>
      </c>
      <c r="F28" s="78">
        <v>51</v>
      </c>
      <c r="G28" s="89">
        <v>15</v>
      </c>
    </row>
    <row r="29" spans="1:7" x14ac:dyDescent="0.3">
      <c r="A29" s="91" t="s">
        <v>31</v>
      </c>
      <c r="B29" s="92">
        <v>55.5</v>
      </c>
      <c r="C29" s="93">
        <v>91.879999999999669</v>
      </c>
      <c r="D29" s="93">
        <v>148.36000000000035</v>
      </c>
      <c r="E29" s="93">
        <v>1066064.7799999998</v>
      </c>
      <c r="F29" s="93">
        <v>8861</v>
      </c>
      <c r="G29" s="94">
        <v>173</v>
      </c>
    </row>
    <row r="30" spans="1:7" hidden="1" x14ac:dyDescent="0.3">
      <c r="A30" s="75" t="s">
        <v>33</v>
      </c>
      <c r="B30" s="49">
        <v>67.650000000000006</v>
      </c>
      <c r="C30" s="49">
        <v>99.8</v>
      </c>
      <c r="D30" s="49">
        <v>116.40000000000002</v>
      </c>
      <c r="E30" s="49">
        <v>1341.5</v>
      </c>
      <c r="F30" s="49">
        <v>15</v>
      </c>
      <c r="G30" s="76">
        <v>3</v>
      </c>
    </row>
    <row r="31" spans="1:7" hidden="1" x14ac:dyDescent="0.3">
      <c r="A31" s="75" t="s">
        <v>40</v>
      </c>
      <c r="B31" s="49">
        <v>111</v>
      </c>
      <c r="C31" s="49">
        <v>111</v>
      </c>
      <c r="D31" s="49">
        <v>111</v>
      </c>
      <c r="E31" s="49">
        <v>1110</v>
      </c>
      <c r="F31" s="49">
        <v>10</v>
      </c>
      <c r="G31" s="76">
        <v>1</v>
      </c>
    </row>
    <row r="32" spans="1:7" hidden="1" x14ac:dyDescent="0.3">
      <c r="A32" s="75" t="s">
        <v>35</v>
      </c>
      <c r="B32" s="49">
        <v>78.449999999999989</v>
      </c>
      <c r="C32" s="49">
        <v>112</v>
      </c>
      <c r="D32" s="49">
        <v>146</v>
      </c>
      <c r="E32" s="49">
        <v>18649.8</v>
      </c>
      <c r="F32" s="49">
        <v>107</v>
      </c>
      <c r="G32" s="76">
        <v>3</v>
      </c>
    </row>
    <row r="33" spans="1:13" x14ac:dyDescent="0.3">
      <c r="A33" s="91" t="s">
        <v>37</v>
      </c>
      <c r="B33" s="92">
        <v>89.477499999999978</v>
      </c>
      <c r="C33" s="93">
        <v>121</v>
      </c>
      <c r="D33" s="93">
        <v>139.90249999999997</v>
      </c>
      <c r="E33" s="93">
        <v>13420.74</v>
      </c>
      <c r="F33" s="93">
        <v>125.59016393442623</v>
      </c>
      <c r="G33" s="94">
        <v>12</v>
      </c>
    </row>
    <row r="34" spans="1:13" hidden="1" x14ac:dyDescent="0.3">
      <c r="A34" s="75" t="s">
        <v>38</v>
      </c>
      <c r="B34" s="49">
        <v>92</v>
      </c>
      <c r="C34" s="49">
        <v>124</v>
      </c>
      <c r="D34" s="49">
        <v>156</v>
      </c>
      <c r="E34" s="49">
        <v>10600</v>
      </c>
      <c r="F34" s="49">
        <v>70</v>
      </c>
      <c r="G34" s="76">
        <v>2</v>
      </c>
    </row>
    <row r="35" spans="1:13" x14ac:dyDescent="0.3">
      <c r="A35" s="84" t="s">
        <v>36</v>
      </c>
      <c r="B35" s="82">
        <v>88.210000000000022</v>
      </c>
      <c r="C35" s="78">
        <v>134.57000000000005</v>
      </c>
      <c r="D35" s="78">
        <v>252.69999999999987</v>
      </c>
      <c r="E35" s="78">
        <v>249347.50000000003</v>
      </c>
      <c r="F35" s="78">
        <v>652</v>
      </c>
      <c r="G35" s="89">
        <v>27</v>
      </c>
    </row>
    <row r="36" spans="1:13" hidden="1" x14ac:dyDescent="0.3">
      <c r="A36" s="75" t="s">
        <v>45</v>
      </c>
      <c r="B36" s="49">
        <v>153.72999999999999</v>
      </c>
      <c r="C36" s="49">
        <v>153.72999999999999</v>
      </c>
      <c r="D36" s="49">
        <v>153.72999999999999</v>
      </c>
      <c r="E36" s="49">
        <v>614.91999999999996</v>
      </c>
      <c r="F36" s="49">
        <v>4</v>
      </c>
      <c r="G36" s="76">
        <v>1</v>
      </c>
    </row>
    <row r="37" spans="1:13" x14ac:dyDescent="0.3">
      <c r="A37" s="84" t="s">
        <v>39</v>
      </c>
      <c r="B37" s="82">
        <v>98.700000000000017</v>
      </c>
      <c r="C37" s="78">
        <v>172.55999999999997</v>
      </c>
      <c r="D37" s="78">
        <v>2312.5</v>
      </c>
      <c r="E37" s="78">
        <v>96856.89</v>
      </c>
      <c r="F37" s="78">
        <v>42</v>
      </c>
      <c r="G37" s="89">
        <v>23</v>
      </c>
      <c r="M37" s="90"/>
    </row>
    <row r="38" spans="1:13" x14ac:dyDescent="0.3">
      <c r="A38" s="91" t="s">
        <v>42</v>
      </c>
      <c r="B38" s="92">
        <v>119</v>
      </c>
      <c r="C38" s="93">
        <v>181.5</v>
      </c>
      <c r="D38" s="93">
        <v>272</v>
      </c>
      <c r="E38" s="93">
        <v>72316.58</v>
      </c>
      <c r="F38" s="93">
        <v>331</v>
      </c>
      <c r="G38" s="94">
        <v>59</v>
      </c>
    </row>
    <row r="39" spans="1:13" x14ac:dyDescent="0.3">
      <c r="A39" s="91" t="s">
        <v>44</v>
      </c>
      <c r="B39" s="92">
        <v>141.67499999999987</v>
      </c>
      <c r="C39" s="93">
        <v>194</v>
      </c>
      <c r="D39" s="93">
        <v>266.75</v>
      </c>
      <c r="E39" s="93">
        <v>2385917.4</v>
      </c>
      <c r="F39" s="93">
        <v>11896</v>
      </c>
      <c r="G39" s="94">
        <v>84</v>
      </c>
    </row>
    <row r="40" spans="1:13" hidden="1" x14ac:dyDescent="0.3">
      <c r="A40" s="75" t="s">
        <v>43</v>
      </c>
      <c r="B40" s="49">
        <v>128.95833333333334</v>
      </c>
      <c r="C40" s="49">
        <v>221.25</v>
      </c>
      <c r="D40" s="49">
        <v>309.375</v>
      </c>
      <c r="E40" s="49">
        <v>51933.333333333336</v>
      </c>
      <c r="F40" s="49">
        <v>240</v>
      </c>
      <c r="G40" s="76">
        <v>4</v>
      </c>
    </row>
    <row r="41" spans="1:13" x14ac:dyDescent="0.3">
      <c r="A41" s="84" t="s">
        <v>41</v>
      </c>
      <c r="B41" s="82">
        <v>112.20000000000003</v>
      </c>
      <c r="C41" s="78">
        <v>252</v>
      </c>
      <c r="D41" s="78">
        <v>2310</v>
      </c>
      <c r="E41" s="78">
        <v>157505.60000000001</v>
      </c>
      <c r="F41" s="78">
        <v>173</v>
      </c>
      <c r="G41" s="89">
        <v>15</v>
      </c>
    </row>
    <row r="42" spans="1:13" x14ac:dyDescent="0.3">
      <c r="A42" s="84" t="s">
        <v>17</v>
      </c>
      <c r="B42" s="82">
        <v>17.549999999999976</v>
      </c>
      <c r="C42" s="78">
        <v>275.79999999999961</v>
      </c>
      <c r="D42" s="78">
        <v>11191.057499999997</v>
      </c>
      <c r="E42" s="78">
        <v>2537583.3079999997</v>
      </c>
      <c r="F42" s="78">
        <v>2353</v>
      </c>
      <c r="G42" s="89">
        <v>74</v>
      </c>
    </row>
    <row r="43" spans="1:13" x14ac:dyDescent="0.3">
      <c r="A43" s="84" t="s">
        <v>32</v>
      </c>
      <c r="B43" s="82">
        <v>59.227499999999978</v>
      </c>
      <c r="C43" s="78">
        <v>332.13999999999987</v>
      </c>
      <c r="D43" s="78">
        <v>1331.8050000000001</v>
      </c>
      <c r="E43" s="78">
        <v>217934.03</v>
      </c>
      <c r="F43" s="78">
        <v>1152</v>
      </c>
      <c r="G43" s="89">
        <v>34</v>
      </c>
    </row>
    <row r="44" spans="1:13" hidden="1" x14ac:dyDescent="0.3">
      <c r="A44" s="75" t="s">
        <v>51</v>
      </c>
      <c r="B44" s="49">
        <v>342.25</v>
      </c>
      <c r="C44" s="49">
        <v>342.5</v>
      </c>
      <c r="D44" s="49">
        <v>342.75</v>
      </c>
      <c r="E44" s="49">
        <v>1028</v>
      </c>
      <c r="F44" s="49">
        <v>3</v>
      </c>
      <c r="G44" s="76">
        <v>2</v>
      </c>
    </row>
    <row r="45" spans="1:13" hidden="1" x14ac:dyDescent="0.3">
      <c r="A45" s="75" t="s">
        <v>52</v>
      </c>
      <c r="B45" s="49">
        <v>350</v>
      </c>
      <c r="C45" s="49">
        <v>350</v>
      </c>
      <c r="D45" s="49">
        <v>350</v>
      </c>
      <c r="E45" s="49">
        <v>35000</v>
      </c>
      <c r="F45" s="49">
        <v>100</v>
      </c>
      <c r="G45" s="76">
        <v>1</v>
      </c>
    </row>
    <row r="46" spans="1:13" hidden="1" x14ac:dyDescent="0.3">
      <c r="A46" s="75" t="s">
        <v>47</v>
      </c>
      <c r="B46" s="49">
        <v>279</v>
      </c>
      <c r="C46" s="49">
        <v>358.19999999999993</v>
      </c>
      <c r="D46" s="49">
        <v>705</v>
      </c>
      <c r="E46" s="49">
        <v>240654.2</v>
      </c>
      <c r="F46" s="49">
        <v>746</v>
      </c>
      <c r="G46" s="76">
        <v>9</v>
      </c>
    </row>
    <row r="47" spans="1:13" hidden="1" x14ac:dyDescent="0.3">
      <c r="A47" s="75" t="s">
        <v>48</v>
      </c>
      <c r="B47" s="49">
        <v>280</v>
      </c>
      <c r="C47" s="49">
        <v>400</v>
      </c>
      <c r="D47" s="49">
        <v>550</v>
      </c>
      <c r="E47" s="49">
        <v>6460</v>
      </c>
      <c r="F47" s="49">
        <v>22</v>
      </c>
      <c r="G47" s="76">
        <v>3</v>
      </c>
    </row>
    <row r="48" spans="1:13" hidden="1" x14ac:dyDescent="0.3">
      <c r="A48" s="75" t="s">
        <v>55</v>
      </c>
      <c r="B48" s="49">
        <v>410</v>
      </c>
      <c r="C48" s="49">
        <v>410</v>
      </c>
      <c r="D48" s="49">
        <v>410</v>
      </c>
      <c r="E48" s="49">
        <v>410</v>
      </c>
      <c r="F48" s="49">
        <v>1</v>
      </c>
      <c r="G48" s="76">
        <v>1</v>
      </c>
    </row>
    <row r="49" spans="1:7" x14ac:dyDescent="0.3">
      <c r="A49" s="84" t="s">
        <v>46</v>
      </c>
      <c r="B49" s="82">
        <v>229.78000000000026</v>
      </c>
      <c r="C49" s="78">
        <v>424.20000000000044</v>
      </c>
      <c r="D49" s="78">
        <v>1030.3000000000011</v>
      </c>
      <c r="E49" s="78">
        <v>938848.80666666664</v>
      </c>
      <c r="F49" s="78">
        <v>1552</v>
      </c>
      <c r="G49" s="89">
        <v>65</v>
      </c>
    </row>
    <row r="50" spans="1:7" hidden="1" x14ac:dyDescent="0.3">
      <c r="A50" s="75" t="s">
        <v>53</v>
      </c>
      <c r="B50" s="49">
        <v>372.55833333333334</v>
      </c>
      <c r="C50" s="49">
        <v>508.75000000000006</v>
      </c>
      <c r="D50" s="49">
        <v>725.7166666666667</v>
      </c>
      <c r="E50" s="49">
        <v>76435.429999999993</v>
      </c>
      <c r="F50" s="49">
        <v>178</v>
      </c>
      <c r="G50" s="76">
        <v>6</v>
      </c>
    </row>
    <row r="51" spans="1:7" x14ac:dyDescent="0.3">
      <c r="A51" s="84" t="s">
        <v>50</v>
      </c>
      <c r="B51" s="82">
        <v>307.64999999999986</v>
      </c>
      <c r="C51" s="78">
        <v>533.62999999999965</v>
      </c>
      <c r="D51" s="78">
        <v>761.31999999999982</v>
      </c>
      <c r="E51" s="78">
        <v>1697256.4666666666</v>
      </c>
      <c r="F51" s="78">
        <v>6313</v>
      </c>
      <c r="G51" s="89">
        <v>25</v>
      </c>
    </row>
    <row r="52" spans="1:7" hidden="1" x14ac:dyDescent="0.3">
      <c r="A52" s="75" t="s">
        <v>58</v>
      </c>
      <c r="B52" s="49">
        <v>559.6</v>
      </c>
      <c r="C52" s="49">
        <v>646.4</v>
      </c>
      <c r="D52" s="49">
        <v>733.2</v>
      </c>
      <c r="E52" s="49">
        <v>30968</v>
      </c>
      <c r="F52" s="49">
        <v>42</v>
      </c>
      <c r="G52" s="76">
        <v>2</v>
      </c>
    </row>
    <row r="53" spans="1:7" hidden="1" x14ac:dyDescent="0.3">
      <c r="A53" s="75" t="s">
        <v>56</v>
      </c>
      <c r="B53" s="49">
        <v>506.75</v>
      </c>
      <c r="C53" s="49">
        <v>654.5</v>
      </c>
      <c r="D53" s="49">
        <v>796.25</v>
      </c>
      <c r="E53" s="49">
        <v>145605</v>
      </c>
      <c r="F53" s="49">
        <v>287.39999999999998</v>
      </c>
      <c r="G53" s="76">
        <v>4</v>
      </c>
    </row>
    <row r="54" spans="1:7" hidden="1" x14ac:dyDescent="0.3">
      <c r="A54" s="75" t="s">
        <v>57</v>
      </c>
      <c r="B54" s="49">
        <v>521.25</v>
      </c>
      <c r="C54" s="49">
        <v>707.91666666666674</v>
      </c>
      <c r="D54" s="49">
        <v>851.875</v>
      </c>
      <c r="E54" s="49">
        <v>109075</v>
      </c>
      <c r="F54" s="49">
        <v>131</v>
      </c>
      <c r="G54" s="76">
        <v>4</v>
      </c>
    </row>
    <row r="55" spans="1:7" x14ac:dyDescent="0.3">
      <c r="A55" s="84" t="s">
        <v>54</v>
      </c>
      <c r="B55" s="82">
        <v>393.94499999999977</v>
      </c>
      <c r="C55" s="78">
        <v>710.01499999999965</v>
      </c>
      <c r="D55" s="78">
        <v>2552.0574999999976</v>
      </c>
      <c r="E55" s="78">
        <v>5467363.3466666667</v>
      </c>
      <c r="F55" s="78">
        <v>2706</v>
      </c>
      <c r="G55" s="89">
        <v>60</v>
      </c>
    </row>
    <row r="56" spans="1:7" hidden="1" x14ac:dyDescent="0.3">
      <c r="A56" s="75" t="s">
        <v>59</v>
      </c>
      <c r="B56" s="49">
        <v>595</v>
      </c>
      <c r="C56" s="49">
        <v>952.5</v>
      </c>
      <c r="D56" s="49">
        <v>1890.4166666666665</v>
      </c>
      <c r="E56" s="49">
        <v>63290</v>
      </c>
      <c r="F56" s="49">
        <v>66</v>
      </c>
      <c r="G56" s="76">
        <v>7</v>
      </c>
    </row>
    <row r="57" spans="1:7" x14ac:dyDescent="0.3">
      <c r="A57" s="91" t="s">
        <v>60</v>
      </c>
      <c r="B57" s="92">
        <v>680</v>
      </c>
      <c r="C57" s="93">
        <v>991</v>
      </c>
      <c r="D57" s="93">
        <v>1485.8333333333339</v>
      </c>
      <c r="E57" s="93">
        <v>6784132.8266666662</v>
      </c>
      <c r="F57" s="93">
        <v>7423</v>
      </c>
      <c r="G57" s="94">
        <v>113</v>
      </c>
    </row>
    <row r="58" spans="1:7" x14ac:dyDescent="0.3">
      <c r="A58" s="84" t="s">
        <v>61</v>
      </c>
      <c r="B58" s="82">
        <v>709.95000000000039</v>
      </c>
      <c r="C58" s="78">
        <v>1000</v>
      </c>
      <c r="D58" s="78">
        <v>5171.4583333333339</v>
      </c>
      <c r="E58" s="78">
        <v>532480.10666666669</v>
      </c>
      <c r="F58" s="78">
        <v>243</v>
      </c>
      <c r="G58" s="89">
        <v>32</v>
      </c>
    </row>
    <row r="59" spans="1:7" x14ac:dyDescent="0.3">
      <c r="A59" s="91" t="s">
        <v>62</v>
      </c>
      <c r="B59" s="92">
        <v>783.15000000000009</v>
      </c>
      <c r="C59" s="93">
        <v>1196.3000000000018</v>
      </c>
      <c r="D59" s="93">
        <v>1455.5</v>
      </c>
      <c r="E59" s="93">
        <v>3900420.52</v>
      </c>
      <c r="F59" s="93">
        <v>3358</v>
      </c>
      <c r="G59" s="94">
        <v>96</v>
      </c>
    </row>
    <row r="60" spans="1:7" hidden="1" x14ac:dyDescent="0.3">
      <c r="A60" s="75" t="s">
        <v>66</v>
      </c>
      <c r="B60" s="49">
        <v>1400</v>
      </c>
      <c r="C60" s="49">
        <v>1400</v>
      </c>
      <c r="D60" s="49">
        <v>1400</v>
      </c>
      <c r="E60" s="49">
        <v>1400</v>
      </c>
      <c r="F60" s="49">
        <v>1</v>
      </c>
      <c r="G60" s="76">
        <v>1</v>
      </c>
    </row>
    <row r="61" spans="1:7" hidden="1" x14ac:dyDescent="0.3">
      <c r="A61" s="75" t="s">
        <v>64</v>
      </c>
      <c r="B61" s="49">
        <v>1308.4649999999999</v>
      </c>
      <c r="C61" s="49">
        <v>1623.05</v>
      </c>
      <c r="D61" s="49">
        <v>3942.1999999999994</v>
      </c>
      <c r="E61" s="49">
        <v>20373.489999999998</v>
      </c>
      <c r="F61" s="49">
        <v>8</v>
      </c>
      <c r="G61" s="76">
        <v>3</v>
      </c>
    </row>
    <row r="62" spans="1:7" x14ac:dyDescent="0.3">
      <c r="A62" s="84" t="s">
        <v>65</v>
      </c>
      <c r="B62" s="82">
        <v>1383.9799999999998</v>
      </c>
      <c r="C62" s="78">
        <v>1866.7000000000005</v>
      </c>
      <c r="D62" s="78">
        <v>4574.5833333333348</v>
      </c>
      <c r="E62" s="78">
        <v>81600.80333333333</v>
      </c>
      <c r="F62" s="78">
        <v>21</v>
      </c>
      <c r="G62" s="89">
        <v>11</v>
      </c>
    </row>
    <row r="63" spans="1:7" hidden="1" x14ac:dyDescent="0.3">
      <c r="A63" s="75" t="s">
        <v>69</v>
      </c>
      <c r="B63" s="49">
        <v>2080</v>
      </c>
      <c r="C63" s="49">
        <v>2080</v>
      </c>
      <c r="D63" s="49">
        <v>2080</v>
      </c>
      <c r="E63" s="49">
        <v>208000</v>
      </c>
      <c r="F63" s="49">
        <v>100</v>
      </c>
      <c r="G63" s="76">
        <v>1</v>
      </c>
    </row>
    <row r="64" spans="1:7" hidden="1" x14ac:dyDescent="0.3">
      <c r="A64" s="75" t="s">
        <v>63</v>
      </c>
      <c r="B64" s="49">
        <v>935.83333333333337</v>
      </c>
      <c r="C64" s="49">
        <v>2184</v>
      </c>
      <c r="D64" s="49">
        <v>3900.8333333333335</v>
      </c>
      <c r="E64" s="49">
        <v>178946.5</v>
      </c>
      <c r="F64" s="49">
        <v>61</v>
      </c>
      <c r="G64" s="76">
        <v>5</v>
      </c>
    </row>
    <row r="65" spans="1:7" hidden="1" x14ac:dyDescent="0.3">
      <c r="A65" s="75" t="s">
        <v>70</v>
      </c>
      <c r="B65" s="49">
        <v>2700</v>
      </c>
      <c r="C65" s="49">
        <v>2700</v>
      </c>
      <c r="D65" s="49">
        <v>2750</v>
      </c>
      <c r="E65" s="49">
        <v>89940</v>
      </c>
      <c r="F65" s="49">
        <v>32</v>
      </c>
      <c r="G65" s="76">
        <v>3</v>
      </c>
    </row>
    <row r="66" spans="1:7" hidden="1" x14ac:dyDescent="0.3">
      <c r="A66" s="75" t="s">
        <v>71</v>
      </c>
      <c r="B66" s="49">
        <v>3488</v>
      </c>
      <c r="C66" s="49">
        <v>3488</v>
      </c>
      <c r="D66" s="49">
        <v>3488</v>
      </c>
      <c r="E66" s="49">
        <v>3488</v>
      </c>
      <c r="F66" s="49">
        <v>1</v>
      </c>
      <c r="G66" s="76">
        <v>1</v>
      </c>
    </row>
    <row r="67" spans="1:7" x14ac:dyDescent="0.3">
      <c r="A67" s="84" t="s">
        <v>67</v>
      </c>
      <c r="B67" s="82">
        <v>1759.125</v>
      </c>
      <c r="C67" s="78">
        <v>3923.725000000004</v>
      </c>
      <c r="D67" s="78">
        <v>12062.505000000003</v>
      </c>
      <c r="E67" s="78">
        <v>2211901.1966666668</v>
      </c>
      <c r="F67" s="78">
        <v>786</v>
      </c>
      <c r="G67" s="89">
        <v>60</v>
      </c>
    </row>
    <row r="68" spans="1:7" hidden="1" x14ac:dyDescent="0.3">
      <c r="A68" s="75" t="s">
        <v>73</v>
      </c>
      <c r="B68" s="49">
        <v>6245.7</v>
      </c>
      <c r="C68" s="49">
        <v>6245.7</v>
      </c>
      <c r="D68" s="49">
        <v>6245.7</v>
      </c>
      <c r="E68" s="49">
        <v>6245.7</v>
      </c>
      <c r="F68" s="49">
        <v>1</v>
      </c>
      <c r="G68" s="76">
        <v>1</v>
      </c>
    </row>
    <row r="69" spans="1:7" hidden="1" x14ac:dyDescent="0.3">
      <c r="A69" s="75" t="s">
        <v>74</v>
      </c>
      <c r="B69" s="49">
        <v>7135.8333333333339</v>
      </c>
      <c r="C69" s="49">
        <v>7135.8333333333339</v>
      </c>
      <c r="D69" s="49">
        <v>7135.8333333333339</v>
      </c>
      <c r="E69" s="49">
        <v>71358.333333333343</v>
      </c>
      <c r="F69" s="49">
        <v>10</v>
      </c>
      <c r="G69" s="76">
        <v>1</v>
      </c>
    </row>
    <row r="70" spans="1:7" hidden="1" x14ac:dyDescent="0.3">
      <c r="A70" s="75" t="s">
        <v>49</v>
      </c>
      <c r="B70" s="49">
        <v>289</v>
      </c>
      <c r="C70" s="49">
        <v>8259.4500000000007</v>
      </c>
      <c r="D70" s="49">
        <v>40374.120000000003</v>
      </c>
      <c r="E70" s="49">
        <v>277662.18999999994</v>
      </c>
      <c r="F70" s="49">
        <v>65</v>
      </c>
      <c r="G70" s="76">
        <v>5</v>
      </c>
    </row>
    <row r="71" spans="1:7" hidden="1" x14ac:dyDescent="0.3">
      <c r="A71" s="75" t="s">
        <v>72</v>
      </c>
      <c r="B71" s="49">
        <v>5198.3333333333339</v>
      </c>
      <c r="C71" s="49">
        <v>11316.666666666668</v>
      </c>
      <c r="D71" s="49">
        <v>29499.166666666668</v>
      </c>
      <c r="E71" s="49">
        <v>938980.83333333349</v>
      </c>
      <c r="F71" s="49">
        <v>73</v>
      </c>
      <c r="G71" s="76">
        <v>5</v>
      </c>
    </row>
    <row r="72" spans="1:7" x14ac:dyDescent="0.3">
      <c r="A72" s="84" t="s">
        <v>75</v>
      </c>
      <c r="B72" s="82">
        <v>7209.1500000000069</v>
      </c>
      <c r="C72" s="78">
        <v>15534.780000000021</v>
      </c>
      <c r="D72" s="78">
        <v>29950.800000000032</v>
      </c>
      <c r="E72" s="78">
        <v>7403615.8166666683</v>
      </c>
      <c r="F72" s="78">
        <v>360</v>
      </c>
      <c r="G72" s="89">
        <v>61</v>
      </c>
    </row>
    <row r="73" spans="1:7" hidden="1" x14ac:dyDescent="0.3">
      <c r="A73" s="75" t="s">
        <v>78</v>
      </c>
      <c r="B73" s="49">
        <v>17235.3</v>
      </c>
      <c r="C73" s="49">
        <v>17235.3</v>
      </c>
      <c r="D73" s="49">
        <v>17235.3</v>
      </c>
      <c r="E73" s="49">
        <v>17235.3</v>
      </c>
      <c r="F73" s="49">
        <v>1</v>
      </c>
      <c r="G73" s="76">
        <v>1</v>
      </c>
    </row>
    <row r="74" spans="1:7" hidden="1" x14ac:dyDescent="0.3">
      <c r="A74" s="75" t="s">
        <v>77</v>
      </c>
      <c r="B74" s="49">
        <v>12800</v>
      </c>
      <c r="C74" s="49">
        <v>18793.535</v>
      </c>
      <c r="D74" s="49">
        <v>26260.850000000002</v>
      </c>
      <c r="E74" s="49">
        <v>423386.26</v>
      </c>
      <c r="F74" s="49">
        <v>21</v>
      </c>
      <c r="G74" s="76">
        <v>8</v>
      </c>
    </row>
    <row r="75" spans="1:7" x14ac:dyDescent="0.3">
      <c r="A75" s="84" t="s">
        <v>68</v>
      </c>
      <c r="B75" s="82">
        <v>2032</v>
      </c>
      <c r="C75" s="78">
        <v>19360</v>
      </c>
      <c r="D75" s="78">
        <v>87628.370000000068</v>
      </c>
      <c r="E75" s="78">
        <v>3084818.93</v>
      </c>
      <c r="F75" s="78">
        <v>82</v>
      </c>
      <c r="G75" s="89">
        <v>37</v>
      </c>
    </row>
    <row r="76" spans="1:7" hidden="1" x14ac:dyDescent="0.3">
      <c r="A76" s="75" t="s">
        <v>76</v>
      </c>
      <c r="B76" s="49">
        <v>11441.9125</v>
      </c>
      <c r="C76" s="49">
        <v>24241.455000000002</v>
      </c>
      <c r="D76" s="49">
        <v>41877.177499999998</v>
      </c>
      <c r="E76" s="49">
        <v>265291.53999999998</v>
      </c>
      <c r="F76" s="49">
        <v>9</v>
      </c>
      <c r="G76" s="76">
        <v>6</v>
      </c>
    </row>
    <row r="77" spans="1:7" ht="17.25" thickBot="1" x14ac:dyDescent="0.35">
      <c r="A77" s="86" t="s">
        <v>79</v>
      </c>
      <c r="B77" s="85">
        <v>17598.830000000009</v>
      </c>
      <c r="C77" s="80">
        <v>60471.060000000034</v>
      </c>
      <c r="D77" s="80">
        <v>139860.215</v>
      </c>
      <c r="E77" s="80">
        <v>3477602.49</v>
      </c>
      <c r="F77" s="80">
        <v>37</v>
      </c>
      <c r="G77" s="87">
        <v>19</v>
      </c>
    </row>
    <row r="78" spans="1:7" hidden="1" x14ac:dyDescent="0.3">
      <c r="A78" s="75" t="s">
        <v>80</v>
      </c>
      <c r="B78" s="49">
        <v>37430.41333333333</v>
      </c>
      <c r="C78" s="49">
        <v>66159.166666666672</v>
      </c>
      <c r="D78" s="49">
        <v>71916.25</v>
      </c>
      <c r="E78" s="49">
        <v>670406.65333333344</v>
      </c>
      <c r="F78" s="49">
        <v>11</v>
      </c>
      <c r="G78" s="76">
        <v>3</v>
      </c>
    </row>
    <row r="79" spans="1:7" hidden="1" x14ac:dyDescent="0.3">
      <c r="A79" s="75" t="s">
        <v>81</v>
      </c>
      <c r="B79" s="49">
        <v>70059.56</v>
      </c>
      <c r="C79" s="49">
        <v>70059.56</v>
      </c>
      <c r="D79" s="49">
        <v>70059.56</v>
      </c>
      <c r="E79" s="49">
        <v>560476.48</v>
      </c>
      <c r="F79" s="49">
        <v>8</v>
      </c>
      <c r="G79" s="76">
        <v>1</v>
      </c>
    </row>
    <row r="80" spans="1:7" hidden="1" x14ac:dyDescent="0.3">
      <c r="A80" s="75" t="s">
        <v>82</v>
      </c>
      <c r="B80" s="77">
        <v>393885.2</v>
      </c>
      <c r="C80" s="77">
        <v>418005.2</v>
      </c>
      <c r="D80" s="77">
        <v>442125.2</v>
      </c>
      <c r="E80" s="77">
        <v>836010.4</v>
      </c>
      <c r="F80" s="77">
        <v>2</v>
      </c>
      <c r="G80" s="76">
        <v>2</v>
      </c>
    </row>
    <row r="81" spans="1:7" ht="17.25" thickBot="1" x14ac:dyDescent="0.35">
      <c r="A81" s="86" t="s">
        <v>83</v>
      </c>
      <c r="B81" s="85">
        <v>1699.0499588477219</v>
      </c>
      <c r="C81" s="80">
        <v>3492.2252011888158</v>
      </c>
      <c r="D81" s="80">
        <v>8477.3447770919356</v>
      </c>
      <c r="E81" s="80">
        <v>48164806.367999993</v>
      </c>
      <c r="F81" s="80">
        <v>72793.990163934417</v>
      </c>
      <c r="G81" s="87">
        <v>1458</v>
      </c>
    </row>
    <row r="82" spans="1:7" x14ac:dyDescent="0.3">
      <c r="A82" s="3" t="s">
        <v>1582</v>
      </c>
      <c r="B82" s="2">
        <f>QUARTILE(data!$H$3:$H$1460,1)</f>
        <v>73.39</v>
      </c>
      <c r="C82" s="2">
        <f>QUARTILE(data!$H$3:$H$1460,2)</f>
        <v>334.625</v>
      </c>
      <c r="D82" s="2">
        <f>QUARTILE(data!$H$3:$H$1460,3)</f>
        <v>1506.325</v>
      </c>
    </row>
  </sheetData>
  <autoFilter ref="A3:G81">
    <filterColumn colId="6">
      <filters>
        <filter val="1 458"/>
        <filter val="10"/>
        <filter val="11"/>
        <filter val="113"/>
        <filter val="12"/>
        <filter val="14"/>
        <filter val="15"/>
        <filter val="16"/>
        <filter val="173"/>
        <filter val="19"/>
        <filter val="21"/>
        <filter val="23"/>
        <filter val="25"/>
        <filter val="27"/>
        <filter val="32"/>
        <filter val="34"/>
        <filter val="37"/>
        <filter val="59"/>
        <filter val="60"/>
        <filter val="61"/>
        <filter val="65"/>
        <filter val="74"/>
        <filter val="84"/>
        <filter val="96"/>
      </filters>
    </filterColumn>
  </autoFilter>
  <hyperlinks>
    <hyperlink ref="E1" location="'pivot-vysvetlivky'!A1" display="pivot-vysvetlivky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tabSelected="1" zoomScale="115" zoomScaleNormal="115" workbookViewId="0"/>
  </sheetViews>
  <sheetFormatPr defaultColWidth="9.140625" defaultRowHeight="16.5" x14ac:dyDescent="0.3"/>
  <cols>
    <col min="1" max="1" width="29.140625" style="3" customWidth="1"/>
    <col min="2" max="2" width="10" style="3" customWidth="1"/>
    <col min="3" max="3" width="9.140625" style="3" customWidth="1"/>
    <col min="4" max="4" width="10.140625" style="3" customWidth="1"/>
    <col min="5" max="5" width="24.5703125" style="3" customWidth="1"/>
    <col min="6" max="6" width="13.28515625" style="3" customWidth="1"/>
    <col min="7" max="7" width="20" style="3" customWidth="1"/>
    <col min="8" max="8" width="9.85546875" style="3" bestFit="1" customWidth="1"/>
    <col min="9" max="9" width="9.140625" style="3"/>
    <col min="10" max="10" width="17.85546875" style="3" customWidth="1"/>
    <col min="11" max="16384" width="9.140625" style="3"/>
  </cols>
  <sheetData>
    <row r="1" spans="1:2" x14ac:dyDescent="0.3">
      <c r="A1" s="95" t="s">
        <v>1583</v>
      </c>
    </row>
    <row r="2" spans="1:2" x14ac:dyDescent="0.3">
      <c r="A2" s="95" t="s">
        <v>1585</v>
      </c>
    </row>
    <row r="3" spans="1:2" x14ac:dyDescent="0.3">
      <c r="A3" s="3" t="s">
        <v>89</v>
      </c>
      <c r="B3" s="3" t="s">
        <v>1587</v>
      </c>
    </row>
    <row r="4" spans="1:2" x14ac:dyDescent="0.3">
      <c r="A4" s="3" t="s">
        <v>92</v>
      </c>
      <c r="B4" s="3" t="s">
        <v>1588</v>
      </c>
    </row>
    <row r="5" spans="1:2" x14ac:dyDescent="0.3">
      <c r="A5" s="3" t="s">
        <v>93</v>
      </c>
      <c r="B5" s="3" t="s">
        <v>1589</v>
      </c>
    </row>
    <row r="6" spans="1:2" x14ac:dyDescent="0.3">
      <c r="A6" s="3" t="s">
        <v>94</v>
      </c>
      <c r="B6" s="3" t="s">
        <v>1590</v>
      </c>
    </row>
    <row r="7" spans="1:2" x14ac:dyDescent="0.3">
      <c r="B7" s="3" t="s">
        <v>1591</v>
      </c>
    </row>
    <row r="8" spans="1:2" x14ac:dyDescent="0.3">
      <c r="A8" s="3" t="s">
        <v>95</v>
      </c>
      <c r="B8" s="3" t="s">
        <v>1592</v>
      </c>
    </row>
    <row r="9" spans="1:2" x14ac:dyDescent="0.3">
      <c r="B9" s="3" t="s">
        <v>1591</v>
      </c>
    </row>
    <row r="10" spans="1:2" x14ac:dyDescent="0.3">
      <c r="A10" s="3" t="s">
        <v>96</v>
      </c>
      <c r="B10" s="3" t="s">
        <v>1593</v>
      </c>
    </row>
    <row r="11" spans="1:2" x14ac:dyDescent="0.3">
      <c r="B11" s="3" t="s">
        <v>1591</v>
      </c>
    </row>
    <row r="12" spans="1:2" x14ac:dyDescent="0.3">
      <c r="A12" s="3" t="s">
        <v>5</v>
      </c>
      <c r="B12" s="3" t="s">
        <v>1601</v>
      </c>
    </row>
    <row r="14" spans="1:2" x14ac:dyDescent="0.3">
      <c r="A14" s="95" t="s">
        <v>1586</v>
      </c>
    </row>
    <row r="15" spans="1:2" x14ac:dyDescent="0.3">
      <c r="A15" s="3" t="s">
        <v>84</v>
      </c>
      <c r="B15" s="3" t="s">
        <v>1602</v>
      </c>
    </row>
    <row r="16" spans="1:2" x14ac:dyDescent="0.3">
      <c r="A16" s="3" t="s">
        <v>85</v>
      </c>
      <c r="B16" s="3" t="s">
        <v>1594</v>
      </c>
    </row>
    <row r="17" spans="1:2" x14ac:dyDescent="0.3">
      <c r="A17" s="3" t="s">
        <v>86</v>
      </c>
      <c r="B17" s="3" t="s">
        <v>1595</v>
      </c>
    </row>
    <row r="18" spans="1:2" x14ac:dyDescent="0.3">
      <c r="A18" s="3" t="s">
        <v>87</v>
      </c>
      <c r="B18" s="3" t="s">
        <v>1596</v>
      </c>
    </row>
    <row r="19" spans="1:2" x14ac:dyDescent="0.3">
      <c r="A19" s="3" t="s">
        <v>88</v>
      </c>
      <c r="B19" s="3" t="s">
        <v>1597</v>
      </c>
    </row>
    <row r="20" spans="1:2" x14ac:dyDescent="0.3">
      <c r="B20" s="3" t="s">
        <v>1598</v>
      </c>
    </row>
    <row r="21" spans="1:2" x14ac:dyDescent="0.3">
      <c r="A21" s="3" t="s">
        <v>90</v>
      </c>
      <c r="B21" s="3" t="s">
        <v>1599</v>
      </c>
    </row>
    <row r="22" spans="1:2" x14ac:dyDescent="0.3">
      <c r="A22" s="3" t="s">
        <v>91</v>
      </c>
      <c r="B22" s="3" t="s">
        <v>1600</v>
      </c>
    </row>
    <row r="24" spans="1:2" x14ac:dyDescent="0.3">
      <c r="A24" s="95" t="s">
        <v>1603</v>
      </c>
    </row>
    <row r="25" spans="1:2" x14ac:dyDescent="0.3">
      <c r="A25" s="3" t="s">
        <v>1604</v>
      </c>
      <c r="B25" s="3" t="s">
        <v>1605</v>
      </c>
    </row>
    <row r="26" spans="1:2" x14ac:dyDescent="0.3">
      <c r="A26" s="3" t="s">
        <v>1606</v>
      </c>
      <c r="B26" s="3" t="s">
        <v>1607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G102"/>
  <sheetViews>
    <sheetView topLeftCell="C1" workbookViewId="0">
      <selection activeCell="T15" sqref="T15"/>
    </sheetView>
  </sheetViews>
  <sheetFormatPr defaultColWidth="9.140625" defaultRowHeight="16.5" x14ac:dyDescent="0.25"/>
  <cols>
    <col min="1" max="1" width="53.85546875" style="6" customWidth="1"/>
    <col min="2" max="2" width="27.42578125" style="6" customWidth="1"/>
    <col min="3" max="3" width="52.140625" style="6" customWidth="1"/>
    <col min="4" max="4" width="26" style="6" customWidth="1"/>
    <col min="5" max="5" width="9.140625" style="6"/>
    <col min="6" max="6" width="25.7109375" style="6" customWidth="1"/>
    <col min="7" max="16384" width="9.140625" style="6"/>
  </cols>
  <sheetData>
    <row r="1" spans="1:7" ht="17.25" thickBot="1" x14ac:dyDescent="0.3">
      <c r="A1" s="50" t="s">
        <v>1530</v>
      </c>
      <c r="B1" s="2" t="s">
        <v>1526</v>
      </c>
      <c r="C1" s="52" t="s">
        <v>1531</v>
      </c>
      <c r="D1" s="53" t="s">
        <v>1532</v>
      </c>
      <c r="E1" s="53" t="s">
        <v>1527</v>
      </c>
      <c r="F1" s="1" t="s">
        <v>5</v>
      </c>
      <c r="G1" s="48"/>
    </row>
    <row r="2" spans="1:7" x14ac:dyDescent="0.25">
      <c r="A2" s="54" t="s">
        <v>1533</v>
      </c>
      <c r="B2" s="55" t="e">
        <f>SUMIFS([1]DB!$AB:$AB,HWGroupsList,"Server")</f>
        <v>#VALUE!</v>
      </c>
      <c r="C2" s="56" t="s">
        <v>1528</v>
      </c>
      <c r="D2" s="57">
        <v>6785242.8266666662</v>
      </c>
      <c r="E2" s="57">
        <v>7433</v>
      </c>
      <c r="F2" s="57">
        <v>114</v>
      </c>
    </row>
    <row r="3" spans="1:7" x14ac:dyDescent="0.25">
      <c r="A3" s="54" t="s">
        <v>1534</v>
      </c>
      <c r="B3" s="55" t="e">
        <f>SUMIFS([1]DB!$AB:$AB,HWGroupsList,"*Diskové pole*")</f>
        <v>#VALUE!</v>
      </c>
      <c r="C3" s="56" t="s">
        <v>1529</v>
      </c>
      <c r="D3" s="57">
        <v>3900420.52</v>
      </c>
      <c r="E3" s="57">
        <v>3358</v>
      </c>
      <c r="F3" s="57">
        <v>96</v>
      </c>
    </row>
    <row r="4" spans="1:7" x14ac:dyDescent="0.25">
      <c r="A4" s="54" t="s">
        <v>1535</v>
      </c>
      <c r="B4" s="55">
        <f t="array" ref="B4">SUM(IF((1-ISERROR(SEARCH("prepínač",HWGroupsList)))*ISERROR(SEARCH("smerovač",HWGroupsList)),[1]DB!$AB:$AB))</f>
        <v>2635287.456666667</v>
      </c>
      <c r="C4" s="56" t="s">
        <v>1533</v>
      </c>
      <c r="D4" s="57">
        <v>7403615.8166666683</v>
      </c>
      <c r="E4" s="57">
        <v>360</v>
      </c>
      <c r="F4" s="57">
        <v>61</v>
      </c>
    </row>
    <row r="5" spans="1:7" x14ac:dyDescent="0.25">
      <c r="A5" s="54" t="s">
        <v>1536</v>
      </c>
      <c r="B5" s="55">
        <f t="array" ref="B5">SUM(IF((1-ISERROR(SEARCH("smerovač",HWGroupsList)))*ISERROR(SEARCH("prepínač",HWGroupsList)),[1]DB!$AB:$AB))</f>
        <v>3755264.6799999997</v>
      </c>
      <c r="C5" s="56" t="s">
        <v>1534</v>
      </c>
      <c r="D5" s="57">
        <v>3084818.93</v>
      </c>
      <c r="E5" s="57">
        <v>82</v>
      </c>
      <c r="F5" s="57">
        <v>37</v>
      </c>
    </row>
    <row r="6" spans="1:7" x14ac:dyDescent="0.25">
      <c r="A6" s="54" t="s">
        <v>1537</v>
      </c>
      <c r="B6" s="55" t="e">
        <f>SUMIFS([1]DB!$AB:$AB,HWGroupsList,"*prepínač*",HWGroupsList,"*smerovač*")</f>
        <v>#VALUE!</v>
      </c>
      <c r="C6" s="56" t="s">
        <v>1535</v>
      </c>
      <c r="D6" s="57">
        <v>2635287.456666667</v>
      </c>
      <c r="E6" s="57">
        <v>807</v>
      </c>
      <c r="F6" s="57">
        <v>68</v>
      </c>
    </row>
    <row r="7" spans="1:7" x14ac:dyDescent="0.25">
      <c r="A7" s="54" t="s">
        <v>1538</v>
      </c>
      <c r="B7" s="55" t="e">
        <f>SUMIFS([1]DB!$AB:$AB,HWGroupsList,"videokonferenčné zariadenie")</f>
        <v>#VALUE!</v>
      </c>
      <c r="C7" s="56" t="s">
        <v>1536</v>
      </c>
      <c r="D7" s="57">
        <v>3755264.6799999997</v>
      </c>
      <c r="E7" s="57">
        <v>102</v>
      </c>
      <c r="F7" s="57">
        <v>24</v>
      </c>
    </row>
    <row r="8" spans="1:7" x14ac:dyDescent="0.25">
      <c r="A8" s="54" t="s">
        <v>1539</v>
      </c>
      <c r="B8" s="55" t="e">
        <f>SUMIFS([1]DB!$AB:$AB,HWGroupsList,"Integrované technol. zariadenie")</f>
        <v>#VALUE!</v>
      </c>
      <c r="C8" s="56" t="s">
        <v>1537</v>
      </c>
      <c r="D8" s="57">
        <v>671434.65333333344</v>
      </c>
      <c r="E8" s="57">
        <v>14</v>
      </c>
      <c r="F8" s="57">
        <v>5</v>
      </c>
    </row>
    <row r="9" spans="1:7" x14ac:dyDescent="0.25">
      <c r="A9" s="54" t="s">
        <v>1540</v>
      </c>
      <c r="B9" s="55" t="e">
        <f>SUMIFS([1]DB!$AB:$AB,HWGroupsList,"SW DataCenter Node")</f>
        <v>#VALUE!</v>
      </c>
      <c r="C9" s="56" t="s">
        <v>1538</v>
      </c>
      <c r="D9" s="57">
        <v>938980.83333333349</v>
      </c>
      <c r="E9" s="57">
        <v>73</v>
      </c>
      <c r="F9" s="57">
        <v>5</v>
      </c>
    </row>
    <row r="10" spans="1:7" x14ac:dyDescent="0.25">
      <c r="A10" s="54" t="s">
        <v>1541</v>
      </c>
      <c r="B10" s="55" t="e">
        <f>SUMIFS([1]DB!$AB:$AB,HWGroupsList,"Zálohovacia jednotka")</f>
        <v>#VALUE!</v>
      </c>
      <c r="C10" s="56" t="s">
        <v>1539</v>
      </c>
      <c r="D10" s="57">
        <v>836010.4</v>
      </c>
      <c r="E10" s="57">
        <v>2</v>
      </c>
      <c r="F10" s="57">
        <v>2</v>
      </c>
    </row>
    <row r="11" spans="1:7" x14ac:dyDescent="0.25">
      <c r="A11" s="54" t="s">
        <v>1542</v>
      </c>
      <c r="B11" s="55" t="e">
        <f>SUMIFS([1]DB!$AB:$AB,HWGroupsList,"*WIFI prístupový bod*")</f>
        <v>#VALUE!</v>
      </c>
      <c r="C11" s="56" t="s">
        <v>1540</v>
      </c>
      <c r="D11" s="57">
        <v>560476.48</v>
      </c>
      <c r="E11" s="57">
        <v>8</v>
      </c>
      <c r="F11" s="57">
        <v>1</v>
      </c>
    </row>
    <row r="12" spans="1:7" x14ac:dyDescent="0.25">
      <c r="A12" s="54" t="s">
        <v>1543</v>
      </c>
      <c r="B12" s="55" t="e">
        <f>SUMIFS([1]DB!$AB:$AB,HWGroupsList,"Záložný zdroj")</f>
        <v>#VALUE!</v>
      </c>
      <c r="C12" s="56" t="s">
        <v>1541</v>
      </c>
      <c r="D12" s="57">
        <v>265291.53999999998</v>
      </c>
      <c r="E12" s="57">
        <v>9</v>
      </c>
      <c r="F12" s="57">
        <v>6</v>
      </c>
    </row>
    <row r="13" spans="1:7" x14ac:dyDescent="0.25">
      <c r="A13" s="54" t="s">
        <v>1544</v>
      </c>
      <c r="B13" s="55" t="e">
        <f>SUMIFS([1]DB!$AB:$AB,HWGroupsList,"IP kamera")</f>
        <v>#VALUE!</v>
      </c>
      <c r="C13" s="56" t="s">
        <v>1542</v>
      </c>
      <c r="D13" s="57">
        <v>249347.50000000003</v>
      </c>
      <c r="E13" s="57">
        <v>652</v>
      </c>
      <c r="F13" s="57">
        <v>27</v>
      </c>
    </row>
    <row r="14" spans="1:7" x14ac:dyDescent="0.25">
      <c r="A14" s="54" t="s">
        <v>1545</v>
      </c>
      <c r="B14" s="55" t="e">
        <f>SUMIFS([1]DB!$AB:$AB,HWGroupsList,"Rack*")</f>
        <v>#VALUE!</v>
      </c>
      <c r="C14" s="56" t="s">
        <v>1543</v>
      </c>
      <c r="D14" s="57">
        <v>217934.03</v>
      </c>
      <c r="E14" s="57">
        <v>1152</v>
      </c>
      <c r="F14" s="57">
        <v>34</v>
      </c>
    </row>
    <row r="15" spans="1:7" x14ac:dyDescent="0.25">
      <c r="A15" s="54" t="s">
        <v>1546</v>
      </c>
      <c r="B15" s="55" t="e">
        <f>SUMIFS([1]DB!$AB:$AB,HWGroupsList,"IP telefón")</f>
        <v>#VALUE!</v>
      </c>
      <c r="C15" s="56" t="s">
        <v>1544</v>
      </c>
      <c r="D15" s="57">
        <v>109075</v>
      </c>
      <c r="E15" s="57">
        <v>131</v>
      </c>
      <c r="F15" s="57">
        <v>4</v>
      </c>
    </row>
    <row r="16" spans="1:7" x14ac:dyDescent="0.25">
      <c r="A16" s="54" t="s">
        <v>1547</v>
      </c>
      <c r="B16" s="55" t="e">
        <f>SUMIFS([1]DB!$AB:$AB,HWGroupsList,"Sieťová karta")+SUMIFS([1]DB!$AB:$AB,HWGroupsList,"FibreChannel karta")</f>
        <v>#VALUE!</v>
      </c>
      <c r="C16" s="56" t="s">
        <v>1545</v>
      </c>
      <c r="D16" s="57">
        <v>103102.59</v>
      </c>
      <c r="E16" s="57">
        <v>43</v>
      </c>
      <c r="F16" s="57">
        <v>24</v>
      </c>
    </row>
    <row r="17" spans="1:6" x14ac:dyDescent="0.25">
      <c r="A17" s="54" t="s">
        <v>1548</v>
      </c>
      <c r="B17" s="55" t="e">
        <f>SUMIFS([1]DB!$AB:$AB,HWGroupsList,"WIFI ovládač mobility")</f>
        <v>#VALUE!</v>
      </c>
      <c r="C17" s="56" t="s">
        <v>1546</v>
      </c>
      <c r="D17" s="57">
        <v>76435.429999999993</v>
      </c>
      <c r="E17" s="57">
        <v>178</v>
      </c>
      <c r="F17" s="57">
        <v>6</v>
      </c>
    </row>
    <row r="18" spans="1:6" x14ac:dyDescent="0.25">
      <c r="A18" s="54" t="s">
        <v>1549</v>
      </c>
      <c r="B18" s="55" t="e">
        <f>SUMIFS([1]DB!$AB:$AB,HWGroupsList,"LAN kábel")</f>
        <v>#VALUE!</v>
      </c>
      <c r="C18" s="56" t="s">
        <v>1547</v>
      </c>
      <c r="D18" s="57">
        <v>32278.449999999997</v>
      </c>
      <c r="E18" s="57">
        <v>347</v>
      </c>
      <c r="F18" s="57">
        <v>19</v>
      </c>
    </row>
    <row r="19" spans="1:6" x14ac:dyDescent="0.25">
      <c r="A19" s="54" t="s">
        <v>1550</v>
      </c>
      <c r="B19" s="55" t="e">
        <f>SUMIFS([1]DB!$AB:$AB,HWGroupsList,"Patch panel")</f>
        <v>#VALUE!</v>
      </c>
      <c r="C19" s="56" t="s">
        <v>1548</v>
      </c>
      <c r="D19" s="57">
        <v>17235.3</v>
      </c>
      <c r="E19" s="57">
        <v>1</v>
      </c>
      <c r="F19" s="57">
        <v>1</v>
      </c>
    </row>
    <row r="20" spans="1:6" x14ac:dyDescent="0.25">
      <c r="A20" s="54" t="s">
        <v>1551</v>
      </c>
      <c r="B20" s="55" t="e">
        <f>SUMIFS([1]DB!$AB:$AB,HWGroupsList,"*rozvádzač*")</f>
        <v>#VALUE!</v>
      </c>
      <c r="C20" s="56" t="s">
        <v>1549</v>
      </c>
      <c r="D20" s="57">
        <v>13420.74</v>
      </c>
      <c r="E20" s="57">
        <v>125.59016393442623</v>
      </c>
      <c r="F20" s="57">
        <v>12</v>
      </c>
    </row>
    <row r="21" spans="1:6" ht="16.5" customHeight="1" x14ac:dyDescent="0.25">
      <c r="A21" s="58" t="s">
        <v>1552</v>
      </c>
      <c r="B21" s="55" t="e">
        <f>SUMIFS([1]DB!$AB:$AB,HWGroupsList,"Jednotka distribúcie napájania")+SUMIFS([1]DB!$AB:$AB,HWGroupsList,"modem")+SUMIFS([1]DB!$AB:$AB,HWGroupsList,"WIFI opakovač")</f>
        <v>#VALUE!</v>
      </c>
      <c r="C21" s="56" t="s">
        <v>1550</v>
      </c>
      <c r="D21" s="57">
        <v>8182.56</v>
      </c>
      <c r="E21" s="57">
        <v>77</v>
      </c>
      <c r="F21" s="57">
        <v>8</v>
      </c>
    </row>
    <row r="22" spans="1:6" x14ac:dyDescent="0.25">
      <c r="A22" s="50" t="s">
        <v>1553</v>
      </c>
      <c r="B22" s="2" t="e">
        <f>SUM(B2:B21)</f>
        <v>#VALUE!</v>
      </c>
      <c r="C22" s="56" t="s">
        <v>1551</v>
      </c>
      <c r="D22" s="57">
        <v>7860</v>
      </c>
      <c r="E22" s="57">
        <v>23</v>
      </c>
      <c r="F22" s="57">
        <v>4</v>
      </c>
    </row>
    <row r="23" spans="1:6" ht="33" x14ac:dyDescent="0.25">
      <c r="C23" s="59" t="s">
        <v>1552</v>
      </c>
      <c r="D23" s="57">
        <v>1435.6599999999999</v>
      </c>
      <c r="E23" s="57">
        <v>41</v>
      </c>
      <c r="F23" s="57">
        <v>3</v>
      </c>
    </row>
    <row r="24" spans="1:6" ht="15.75" customHeight="1" x14ac:dyDescent="0.25">
      <c r="A24" s="50" t="s">
        <v>1554</v>
      </c>
      <c r="B24" s="2" t="s">
        <v>1526</v>
      </c>
      <c r="C24" s="59" t="s">
        <v>1555</v>
      </c>
      <c r="D24" s="57">
        <v>6824265.0566666666</v>
      </c>
      <c r="E24" s="57">
        <v>4513</v>
      </c>
      <c r="F24" s="57">
        <v>156</v>
      </c>
    </row>
    <row r="25" spans="1:6" ht="16.5" customHeight="1" x14ac:dyDescent="0.25">
      <c r="A25" s="54" t="s">
        <v>1555</v>
      </c>
      <c r="B25" s="55" t="e">
        <f>SUMIFS([1]DB!$AB:$AB,HWGroupsList,"*Tlačiareň")+SUMIFS([1]DB!$AB:$AB,HWGroupsList,"Multifunkčné zariadenie")+SUMIFS([1]DB!$AB:$AB,HWGroupsList,"*Skener*")+SUMIFS([1]DB!$AB:$AB,HWGroupsList,"*Ploter*")</f>
        <v>#VALUE!</v>
      </c>
      <c r="C25" s="59" t="s">
        <v>1556</v>
      </c>
      <c r="D25" s="57">
        <v>3114151.8400000003</v>
      </c>
      <c r="E25" s="57">
        <v>12224</v>
      </c>
      <c r="F25" s="57">
        <v>123</v>
      </c>
    </row>
    <row r="26" spans="1:6" ht="16.5" customHeight="1" x14ac:dyDescent="0.25">
      <c r="A26" s="54" t="s">
        <v>1556</v>
      </c>
      <c r="B26" s="55" t="e">
        <f>SUMIFS([1]DB!$AB:$AB,HWGroupsList,"Monitor")+SUMIFS([1]DB!$AB:$AB,HWGroupsList,"Projektor")+SUMIFS([1]DB!$AB:$AB,HWGroupsList,"*tabuľa")+SUMIFS([1]DB!$AB:$AB,HWGroupsList,"*zobrazovacia jednotka")+SUMIFS([1]DB!$AB:$AB,HWGroupsList,"*displej")+SUMIFS([1]DB!$AB:$AB,HWGroupsList,"*LED TV")</f>
        <v>#VALUE!</v>
      </c>
      <c r="C26" s="59" t="s">
        <v>1557</v>
      </c>
      <c r="D26" s="57">
        <v>1929794.8</v>
      </c>
      <c r="E26" s="57">
        <v>6940.4</v>
      </c>
      <c r="F26" s="57">
        <v>34</v>
      </c>
    </row>
    <row r="27" spans="1:6" x14ac:dyDescent="0.25">
      <c r="A27" s="54" t="s">
        <v>1557</v>
      </c>
      <c r="B27" s="55" t="e">
        <f>SUMIFS([1]DB!$AB:$AB,HWGroupsList,"*tablet*")+SUMIFS([1]DB!$AB:$AB,HWGroupsList,"*mobilný telefón*")</f>
        <v>#VALUE!</v>
      </c>
      <c r="C27" s="56" t="s">
        <v>1558</v>
      </c>
      <c r="D27" s="57">
        <v>432898.48000000004</v>
      </c>
      <c r="E27" s="57">
        <v>4567</v>
      </c>
      <c r="F27" s="57">
        <v>105</v>
      </c>
    </row>
    <row r="28" spans="1:6" x14ac:dyDescent="0.25">
      <c r="A28" s="54" t="s">
        <v>1558</v>
      </c>
      <c r="B28" s="55" t="e">
        <f>SUMIFS([1]DB!$AB:$AB,HWGroupsList,"*RAM*")</f>
        <v>#VALUE!</v>
      </c>
      <c r="C28" s="56" t="s">
        <v>1559</v>
      </c>
      <c r="D28" s="57">
        <v>1066064.7799999998</v>
      </c>
      <c r="E28" s="57">
        <v>8861</v>
      </c>
      <c r="F28" s="57">
        <v>173</v>
      </c>
    </row>
    <row r="29" spans="1:6" x14ac:dyDescent="0.25">
      <c r="A29" s="54" t="s">
        <v>1559</v>
      </c>
      <c r="B29" s="55" t="e">
        <f>SUMIFS([1]DB!$AB:$AB,HWGroupsList,"*pevný disk*")</f>
        <v>#VALUE!</v>
      </c>
      <c r="C29" s="56" t="s">
        <v>1560</v>
      </c>
      <c r="D29" s="57">
        <v>72316.58</v>
      </c>
      <c r="E29" s="57">
        <v>331</v>
      </c>
      <c r="F29" s="57">
        <v>59</v>
      </c>
    </row>
    <row r="30" spans="1:6" x14ac:dyDescent="0.25">
      <c r="A30" s="54" t="s">
        <v>1560</v>
      </c>
      <c r="B30" s="55" t="e">
        <f>SUMIFS([1]DB!$AB:$AB,HWGroupsList,"*procesor*")</f>
        <v>#VALUE!</v>
      </c>
      <c r="C30" s="56" t="s">
        <v>1561</v>
      </c>
      <c r="D30" s="57">
        <v>13368.95</v>
      </c>
      <c r="E30" s="57">
        <v>51</v>
      </c>
      <c r="F30" s="57">
        <v>15</v>
      </c>
    </row>
    <row r="31" spans="1:6" x14ac:dyDescent="0.25">
      <c r="A31" s="54" t="s">
        <v>1561</v>
      </c>
      <c r="B31" s="55" t="e">
        <f>SUMIFS([1]DB!$AB:$AB,HWGroupsList,"*grafická karta*")</f>
        <v>#VALUE!</v>
      </c>
      <c r="C31" s="56" t="s">
        <v>1562</v>
      </c>
      <c r="D31" s="57">
        <v>69.5</v>
      </c>
      <c r="E31" s="57">
        <v>2</v>
      </c>
      <c r="F31" s="57">
        <v>2</v>
      </c>
    </row>
    <row r="32" spans="1:6" x14ac:dyDescent="0.25">
      <c r="A32" s="54" t="s">
        <v>1562</v>
      </c>
      <c r="B32" s="55" t="e">
        <f>SUMIFS([1]DB!$AB:$AB,HWGroupsList,"*zvuková karta*")</f>
        <v>#VALUE!</v>
      </c>
      <c r="C32" s="56" t="s">
        <v>1563</v>
      </c>
      <c r="D32" s="57">
        <v>9404</v>
      </c>
      <c r="E32" s="57">
        <v>63</v>
      </c>
      <c r="F32" s="57">
        <v>14</v>
      </c>
    </row>
    <row r="33" spans="1:6" x14ac:dyDescent="0.25">
      <c r="A33" s="60" t="s">
        <v>1563</v>
      </c>
      <c r="B33" s="55" t="e">
        <f>SUMIFS([1]DB!$AB:$AB,HWGroupsList,"*základná doska*")</f>
        <v>#VALUE!</v>
      </c>
      <c r="C33" s="56" t="s">
        <v>1564</v>
      </c>
      <c r="D33" s="57">
        <v>1272.5</v>
      </c>
      <c r="E33" s="57">
        <v>50</v>
      </c>
      <c r="F33" s="57">
        <v>2</v>
      </c>
    </row>
    <row r="34" spans="1:6" x14ac:dyDescent="0.25">
      <c r="A34" s="60" t="s">
        <v>1564</v>
      </c>
      <c r="B34" s="55" t="e">
        <f>SUMIFS([1]DB!$AB:$AB,HWGroupsList,"*PC skrinka*")</f>
        <v>#VALUE!</v>
      </c>
      <c r="C34" s="56" t="s">
        <v>1565</v>
      </c>
      <c r="D34" s="57">
        <v>20494.816666666666</v>
      </c>
      <c r="E34" s="57">
        <v>549</v>
      </c>
      <c r="F34" s="57">
        <v>20</v>
      </c>
    </row>
    <row r="35" spans="1:6" x14ac:dyDescent="0.25">
      <c r="A35" s="60" t="s">
        <v>1565</v>
      </c>
      <c r="B35" s="55" t="e">
        <f>SUMIFS([1]DB!$AB:$AB,HWGroupsList,"*PC zdroj*")+SUMIFS([1]DB!$AB:$AB,HWGroupsList,"*zdroj pre NB*")</f>
        <v>#VALUE!</v>
      </c>
      <c r="C35" s="56" t="s">
        <v>1566</v>
      </c>
      <c r="D35" s="57">
        <v>410</v>
      </c>
      <c r="E35" s="57">
        <v>1</v>
      </c>
      <c r="F35" s="57">
        <v>1</v>
      </c>
    </row>
    <row r="36" spans="1:6" x14ac:dyDescent="0.25">
      <c r="A36" s="60" t="s">
        <v>1566</v>
      </c>
      <c r="B36" s="55" t="e">
        <f>SUMIFS([1]DB!$AB:$AB,HWGroupsList,"*radič*")</f>
        <v>#VALUE!</v>
      </c>
      <c r="C36" s="56" t="s">
        <v>1567</v>
      </c>
      <c r="D36" s="57">
        <v>5564.65</v>
      </c>
      <c r="E36" s="57">
        <v>211</v>
      </c>
      <c r="F36" s="57">
        <v>10</v>
      </c>
    </row>
    <row r="37" spans="1:6" x14ac:dyDescent="0.25">
      <c r="A37" s="60" t="s">
        <v>1567</v>
      </c>
      <c r="B37" s="55" t="e">
        <f>SUMIFS([1]DB!$AB:$AB,HWGroupsList,"*optická mechanika*")</f>
        <v>#VALUE!</v>
      </c>
      <c r="C37" s="56" t="s">
        <v>1568</v>
      </c>
      <c r="D37" s="57">
        <v>227639.28</v>
      </c>
      <c r="E37" s="57">
        <v>388</v>
      </c>
      <c r="F37" s="57">
        <v>9</v>
      </c>
    </row>
    <row r="38" spans="1:6" x14ac:dyDescent="0.25">
      <c r="A38" s="60" t="s">
        <v>1568</v>
      </c>
      <c r="B38" s="55" t="e">
        <f>SUMIFS([1]DB!$AB:$AB,HWGroupsList,"*Čítačka*")</f>
        <v>#VALUE!</v>
      </c>
      <c r="C38" s="56" t="s">
        <v>1569</v>
      </c>
      <c r="D38" s="57">
        <v>1341.5</v>
      </c>
      <c r="E38" s="57">
        <v>15</v>
      </c>
      <c r="F38" s="57">
        <v>3</v>
      </c>
    </row>
    <row r="39" spans="1:6" x14ac:dyDescent="0.25">
      <c r="A39" s="60" t="s">
        <v>1569</v>
      </c>
      <c r="B39" s="55" t="e">
        <f>SUMIFS([1]DB!$AB:$AB,HWGroupsList,"*akumulátor*")</f>
        <v>#VALUE!</v>
      </c>
      <c r="C39" s="56" t="s">
        <v>1570</v>
      </c>
      <c r="D39" s="57">
        <v>37819.019999999997</v>
      </c>
      <c r="E39" s="57">
        <v>4296</v>
      </c>
      <c r="F39" s="57">
        <v>14</v>
      </c>
    </row>
    <row r="40" spans="1:6" x14ac:dyDescent="0.25">
      <c r="A40" s="60" t="s">
        <v>1570</v>
      </c>
      <c r="B40" s="55">
        <f t="array" ref="B40">SUM(IF((1-ISERROR(SEARCH("klávesnica",HWGroupsList)))*ISERROR(SEARCH("myš",HWGroupsList)),[1]DB!$AB:$AB))</f>
        <v>37819.019999999997</v>
      </c>
      <c r="C40" s="56" t="s">
        <v>1571</v>
      </c>
      <c r="D40" s="57">
        <v>31557.11</v>
      </c>
      <c r="E40" s="57">
        <v>4918</v>
      </c>
      <c r="F40" s="57">
        <v>23</v>
      </c>
    </row>
    <row r="41" spans="1:6" x14ac:dyDescent="0.25">
      <c r="A41" s="60" t="s">
        <v>1571</v>
      </c>
      <c r="B41" s="55">
        <f t="array" ref="B41">SUM(IF((1-ISERROR(SEARCH("myš",HWGroupsList)))*ISERROR(SEARCH("klávesnica",HWGroupsList)),[1]DB!$AB:$AB))</f>
        <v>31557.11</v>
      </c>
      <c r="C41" s="56" t="s">
        <v>1572</v>
      </c>
      <c r="D41" s="57">
        <v>12661.1</v>
      </c>
      <c r="E41" s="57">
        <v>390</v>
      </c>
      <c r="F41" s="57">
        <v>2</v>
      </c>
    </row>
    <row r="42" spans="1:6" x14ac:dyDescent="0.25">
      <c r="A42" s="60" t="s">
        <v>1572</v>
      </c>
      <c r="B42" s="55" t="e">
        <f>SUMIFS([1]DB!$AB:$AB,HWGroupsList,"*myš*",HWGroupsList,"*klávesnica*")</f>
        <v>#VALUE!</v>
      </c>
      <c r="C42" s="56" t="s">
        <v>1573</v>
      </c>
      <c r="D42" s="57">
        <v>2163.25</v>
      </c>
      <c r="E42" s="57">
        <v>25</v>
      </c>
      <c r="F42" s="57">
        <v>4</v>
      </c>
    </row>
    <row r="43" spans="1:6" x14ac:dyDescent="0.25">
      <c r="A43" s="60" t="s">
        <v>1573</v>
      </c>
      <c r="B43" s="55" t="e">
        <f>SUMIFS([1]DB!$AB:$AB,HWGroupsList,"*webová kamera*")</f>
        <v>#VALUE!</v>
      </c>
      <c r="C43" s="56" t="s">
        <v>59</v>
      </c>
      <c r="D43" s="57">
        <v>63290</v>
      </c>
      <c r="E43" s="57">
        <v>66</v>
      </c>
      <c r="F43" s="57">
        <v>7</v>
      </c>
    </row>
    <row r="44" spans="1:6" x14ac:dyDescent="0.25">
      <c r="A44" s="60" t="s">
        <v>59</v>
      </c>
      <c r="B44" s="55" t="e">
        <f>SUMIFS([1]DB!$AB:$AB,HWGroupsList,"*VR okuliare*")</f>
        <v>#VALUE!</v>
      </c>
      <c r="C44" s="56" t="s">
        <v>1574</v>
      </c>
      <c r="D44" s="57">
        <v>303</v>
      </c>
      <c r="E44" s="57">
        <v>12</v>
      </c>
      <c r="F44" s="57">
        <v>2</v>
      </c>
    </row>
    <row r="45" spans="1:6" x14ac:dyDescent="0.25">
      <c r="A45" s="60" t="s">
        <v>1574</v>
      </c>
      <c r="B45" s="55" t="e">
        <f>SUMIFS([1]DB!$AB:$AB,HWGroupsList,"*chladič*")</f>
        <v>#VALUE!</v>
      </c>
      <c r="C45" s="56" t="s">
        <v>1575</v>
      </c>
      <c r="D45" s="57">
        <v>1566.72</v>
      </c>
      <c r="E45" s="57">
        <v>87</v>
      </c>
      <c r="F45" s="57">
        <v>7</v>
      </c>
    </row>
    <row r="46" spans="1:6" x14ac:dyDescent="0.25">
      <c r="A46" s="60" t="s">
        <v>1575</v>
      </c>
      <c r="B46" s="55" t="e">
        <f>SUMIFS([1]DB!$AB:$AB,HWGroupsList,"*pamäťová*")</f>
        <v>#VALUE!</v>
      </c>
      <c r="C46" s="56" t="s">
        <v>1576</v>
      </c>
      <c r="D46" s="57">
        <v>11468.08</v>
      </c>
      <c r="E46" s="57">
        <v>266</v>
      </c>
      <c r="F46" s="57">
        <v>5</v>
      </c>
    </row>
    <row r="47" spans="1:6" x14ac:dyDescent="0.25">
      <c r="A47" s="60" t="s">
        <v>1576</v>
      </c>
      <c r="B47" s="55" t="e">
        <f>SUMIFS([1]DB!$AB:$AB,HWGroupsList,"*reproduktor*")+SUMIFS([1]DB!$AB:$AB,HWGroupsList,"*slúchadl*")</f>
        <v>#VALUE!</v>
      </c>
      <c r="C47" s="56" t="s">
        <v>1577</v>
      </c>
      <c r="D47" s="57">
        <v>60439.76</v>
      </c>
      <c r="E47" s="57">
        <v>6220</v>
      </c>
      <c r="F47" s="57">
        <v>21</v>
      </c>
    </row>
    <row r="48" spans="1:6" x14ac:dyDescent="0.25">
      <c r="A48" s="60" t="s">
        <v>1577</v>
      </c>
      <c r="B48" s="55" t="e">
        <f>SUMIFS([1]DB!$AB:$AB,HWGroupsList,"*USB kľúč*")</f>
        <v>#VALUE!</v>
      </c>
      <c r="C48" s="61" t="s">
        <v>17</v>
      </c>
      <c r="D48" s="57">
        <v>2537583.3079999997</v>
      </c>
      <c r="E48" s="57">
        <v>2353</v>
      </c>
      <c r="F48" s="57">
        <v>74</v>
      </c>
    </row>
    <row r="49" spans="1:6" x14ac:dyDescent="0.25">
      <c r="A49" s="60" t="s">
        <v>17</v>
      </c>
      <c r="B49" s="55" t="e">
        <f>SUMIFS([1]DB!$AB:$AB,HWGroupsList,"*Príslušenstvo*")</f>
        <v>#VALUE!</v>
      </c>
      <c r="C49" s="61" t="s">
        <v>1578</v>
      </c>
      <c r="D49" s="57">
        <v>1860.0900000000001</v>
      </c>
      <c r="E49" s="57">
        <v>223</v>
      </c>
      <c r="F49" s="57">
        <v>7</v>
      </c>
    </row>
    <row r="50" spans="1:6" x14ac:dyDescent="0.25">
      <c r="A50" s="60" t="s">
        <v>1578</v>
      </c>
      <c r="B50" s="55" t="e">
        <f>SUMIFS([1]DB!$AB:$AB,HWGroupsList,"*USB hub*")</f>
        <v>#VALUE!</v>
      </c>
      <c r="C50" s="6" t="s">
        <v>1579</v>
      </c>
      <c r="D50" s="49">
        <v>11886.799999989569</v>
      </c>
      <c r="E50" s="49">
        <v>153</v>
      </c>
      <c r="F50" s="49">
        <v>5</v>
      </c>
    </row>
    <row r="51" spans="1:6" ht="17.25" thickBot="1" x14ac:dyDescent="0.3">
      <c r="B51" s="48"/>
      <c r="C51" s="51"/>
      <c r="D51" s="51"/>
      <c r="E51" s="62"/>
    </row>
    <row r="52" spans="1:6" ht="17.25" thickBot="1" x14ac:dyDescent="0.3">
      <c r="B52" s="49" t="e">
        <f>SUM(B25:B50,B2:B21,#REF!)</f>
        <v>#REF!</v>
      </c>
      <c r="C52" s="63" t="s">
        <v>1531</v>
      </c>
      <c r="D52" s="64" t="s">
        <v>1532</v>
      </c>
      <c r="E52" s="64" t="s">
        <v>1527</v>
      </c>
      <c r="F52" s="1" t="s">
        <v>5</v>
      </c>
    </row>
    <row r="53" spans="1:6" x14ac:dyDescent="0.25">
      <c r="A53" s="6" t="s">
        <v>1580</v>
      </c>
      <c r="B53" s="49" t="e">
        <f>#REF!-B52</f>
        <v>#REF!</v>
      </c>
      <c r="C53" s="56" t="s">
        <v>1533</v>
      </c>
      <c r="D53" s="57">
        <v>7403615.8166666683</v>
      </c>
      <c r="E53" s="57">
        <v>360</v>
      </c>
      <c r="F53" s="57">
        <v>61</v>
      </c>
    </row>
    <row r="54" spans="1:6" x14ac:dyDescent="0.25">
      <c r="B54" s="48"/>
      <c r="C54" s="59" t="s">
        <v>1555</v>
      </c>
      <c r="D54" s="57">
        <v>6824265.0566666666</v>
      </c>
      <c r="E54" s="57">
        <v>4513</v>
      </c>
      <c r="F54" s="57">
        <v>156</v>
      </c>
    </row>
    <row r="55" spans="1:6" x14ac:dyDescent="0.25">
      <c r="B55" s="48"/>
      <c r="C55" s="56" t="s">
        <v>1528</v>
      </c>
      <c r="D55" s="57">
        <v>6752536.8266666662</v>
      </c>
      <c r="E55" s="57">
        <v>7427</v>
      </c>
      <c r="F55" s="57">
        <v>114</v>
      </c>
    </row>
    <row r="56" spans="1:6" x14ac:dyDescent="0.25">
      <c r="B56" s="48"/>
      <c r="C56" s="56" t="s">
        <v>1529</v>
      </c>
      <c r="D56" s="57">
        <v>3900420.52</v>
      </c>
      <c r="E56" s="57">
        <v>3358</v>
      </c>
      <c r="F56" s="57">
        <v>96</v>
      </c>
    </row>
    <row r="57" spans="1:6" x14ac:dyDescent="0.25">
      <c r="B57" s="48"/>
      <c r="C57" s="56" t="s">
        <v>1536</v>
      </c>
      <c r="D57" s="57">
        <v>3755264.6799999997</v>
      </c>
      <c r="E57" s="57">
        <v>102</v>
      </c>
      <c r="F57" s="57">
        <v>24</v>
      </c>
    </row>
    <row r="58" spans="1:6" ht="17.25" customHeight="1" x14ac:dyDescent="0.25">
      <c r="B58" s="48"/>
      <c r="C58" s="59" t="s">
        <v>1556</v>
      </c>
      <c r="D58" s="57">
        <v>3114151.8400000003</v>
      </c>
      <c r="E58" s="57">
        <v>12224</v>
      </c>
      <c r="F58" s="57">
        <v>123</v>
      </c>
    </row>
    <row r="59" spans="1:6" x14ac:dyDescent="0.25">
      <c r="B59" s="48"/>
      <c r="C59" s="56" t="s">
        <v>1534</v>
      </c>
      <c r="D59" s="57">
        <v>3084818.93</v>
      </c>
      <c r="E59" s="57">
        <v>82</v>
      </c>
      <c r="F59" s="57">
        <v>37</v>
      </c>
    </row>
    <row r="60" spans="1:6" x14ac:dyDescent="0.25">
      <c r="B60" s="48"/>
      <c r="C60" s="56" t="s">
        <v>1535</v>
      </c>
      <c r="D60" s="57">
        <v>2635287.456666667</v>
      </c>
      <c r="E60" s="57">
        <v>807</v>
      </c>
      <c r="F60" s="57">
        <v>68</v>
      </c>
    </row>
    <row r="61" spans="1:6" x14ac:dyDescent="0.25">
      <c r="B61" s="48"/>
      <c r="C61" s="61" t="s">
        <v>17</v>
      </c>
      <c r="D61" s="57">
        <v>2537583.3079999997</v>
      </c>
      <c r="E61" s="57">
        <v>2353</v>
      </c>
      <c r="F61" s="57">
        <v>74</v>
      </c>
    </row>
    <row r="62" spans="1:6" x14ac:dyDescent="0.25">
      <c r="B62" s="48"/>
      <c r="C62" s="59" t="s">
        <v>1557</v>
      </c>
      <c r="D62" s="57">
        <v>1929794.8</v>
      </c>
      <c r="E62" s="57">
        <v>6940.4</v>
      </c>
      <c r="F62" s="57">
        <v>34</v>
      </c>
    </row>
    <row r="63" spans="1:6" x14ac:dyDescent="0.25">
      <c r="C63" s="56" t="s">
        <v>1559</v>
      </c>
      <c r="D63" s="57">
        <v>1066064.7799999998</v>
      </c>
      <c r="E63" s="57">
        <v>8861</v>
      </c>
      <c r="F63" s="57">
        <v>173</v>
      </c>
    </row>
    <row r="64" spans="1:6" x14ac:dyDescent="0.25">
      <c r="C64" s="56" t="s">
        <v>1538</v>
      </c>
      <c r="D64" s="57">
        <v>938980.83333333349</v>
      </c>
      <c r="E64" s="57">
        <v>73</v>
      </c>
      <c r="F64" s="57">
        <v>5</v>
      </c>
    </row>
    <row r="65" spans="3:6" x14ac:dyDescent="0.25">
      <c r="C65" s="56" t="s">
        <v>1539</v>
      </c>
      <c r="D65" s="57">
        <v>836010.4</v>
      </c>
      <c r="E65" s="57">
        <v>2</v>
      </c>
      <c r="F65" s="57">
        <v>2</v>
      </c>
    </row>
    <row r="66" spans="3:6" x14ac:dyDescent="0.25">
      <c r="C66" s="56" t="s">
        <v>1537</v>
      </c>
      <c r="D66" s="57">
        <v>671434.65333333344</v>
      </c>
      <c r="E66" s="57">
        <v>14</v>
      </c>
      <c r="F66" s="57">
        <v>5</v>
      </c>
    </row>
    <row r="67" spans="3:6" x14ac:dyDescent="0.25">
      <c r="C67" s="56" t="s">
        <v>1540</v>
      </c>
      <c r="D67" s="57">
        <v>560476.48</v>
      </c>
      <c r="E67" s="57">
        <v>8</v>
      </c>
      <c r="F67" s="57">
        <v>1</v>
      </c>
    </row>
    <row r="68" spans="3:6" x14ac:dyDescent="0.25">
      <c r="C68" s="56" t="s">
        <v>1558</v>
      </c>
      <c r="D68" s="57">
        <v>432898.48000000004</v>
      </c>
      <c r="E68" s="57">
        <v>4567</v>
      </c>
      <c r="F68" s="57">
        <v>105</v>
      </c>
    </row>
    <row r="69" spans="3:6" x14ac:dyDescent="0.25">
      <c r="C69" s="56" t="s">
        <v>1541</v>
      </c>
      <c r="D69" s="57">
        <v>265291.53999999998</v>
      </c>
      <c r="E69" s="57">
        <v>9</v>
      </c>
      <c r="F69" s="57">
        <v>6</v>
      </c>
    </row>
    <row r="70" spans="3:6" x14ac:dyDescent="0.25">
      <c r="C70" s="56" t="s">
        <v>1542</v>
      </c>
      <c r="D70" s="57">
        <v>249347.50000000003</v>
      </c>
      <c r="E70" s="57">
        <v>652</v>
      </c>
      <c r="F70" s="57">
        <v>27</v>
      </c>
    </row>
    <row r="71" spans="3:6" x14ac:dyDescent="0.25">
      <c r="C71" s="56" t="s">
        <v>1568</v>
      </c>
      <c r="D71" s="57">
        <v>227639.28</v>
      </c>
      <c r="E71" s="57">
        <v>388</v>
      </c>
      <c r="F71" s="57">
        <v>9</v>
      </c>
    </row>
    <row r="72" spans="3:6" x14ac:dyDescent="0.25">
      <c r="C72" s="56" t="s">
        <v>1543</v>
      </c>
      <c r="D72" s="57">
        <v>217934.03</v>
      </c>
      <c r="E72" s="57">
        <v>1152</v>
      </c>
      <c r="F72" s="57">
        <v>34</v>
      </c>
    </row>
    <row r="73" spans="3:6" x14ac:dyDescent="0.25">
      <c r="C73" s="56" t="s">
        <v>1544</v>
      </c>
      <c r="D73" s="57">
        <v>109075</v>
      </c>
      <c r="E73" s="57">
        <v>131</v>
      </c>
      <c r="F73" s="57">
        <v>4</v>
      </c>
    </row>
    <row r="74" spans="3:6" x14ac:dyDescent="0.25">
      <c r="C74" s="56" t="s">
        <v>1545</v>
      </c>
      <c r="D74" s="57">
        <v>103102.59</v>
      </c>
      <c r="E74" s="57">
        <v>43</v>
      </c>
      <c r="F74" s="57">
        <v>24</v>
      </c>
    </row>
    <row r="75" spans="3:6" x14ac:dyDescent="0.25">
      <c r="C75" s="56" t="s">
        <v>1546</v>
      </c>
      <c r="D75" s="57">
        <v>76435.429999999993</v>
      </c>
      <c r="E75" s="57">
        <v>178</v>
      </c>
      <c r="F75" s="57">
        <v>6</v>
      </c>
    </row>
    <row r="76" spans="3:6" ht="18" customHeight="1" x14ac:dyDescent="0.25">
      <c r="C76" s="56" t="s">
        <v>1560</v>
      </c>
      <c r="D76" s="57">
        <v>72316.58</v>
      </c>
      <c r="E76" s="57">
        <v>331</v>
      </c>
      <c r="F76" s="57">
        <v>59</v>
      </c>
    </row>
    <row r="77" spans="3:6" x14ac:dyDescent="0.25">
      <c r="C77" s="56" t="s">
        <v>59</v>
      </c>
      <c r="D77" s="57">
        <v>63290</v>
      </c>
      <c r="E77" s="57">
        <v>66</v>
      </c>
      <c r="F77" s="57">
        <v>7</v>
      </c>
    </row>
    <row r="78" spans="3:6" x14ac:dyDescent="0.25">
      <c r="C78" s="56" t="s">
        <v>1577</v>
      </c>
      <c r="D78" s="57">
        <v>60439.76</v>
      </c>
      <c r="E78" s="57">
        <v>6220</v>
      </c>
      <c r="F78" s="57">
        <v>21</v>
      </c>
    </row>
    <row r="79" spans="3:6" x14ac:dyDescent="0.25">
      <c r="C79" s="56" t="s">
        <v>1570</v>
      </c>
      <c r="D79" s="57">
        <v>37819.019999999997</v>
      </c>
      <c r="E79" s="57">
        <v>4296</v>
      </c>
      <c r="F79" s="57">
        <v>14</v>
      </c>
    </row>
    <row r="80" spans="3:6" x14ac:dyDescent="0.25">
      <c r="C80" s="56" t="s">
        <v>1547</v>
      </c>
      <c r="D80" s="57">
        <v>32278.449999999997</v>
      </c>
      <c r="E80" s="57">
        <v>347</v>
      </c>
      <c r="F80" s="57">
        <v>19</v>
      </c>
    </row>
    <row r="81" spans="3:6" x14ac:dyDescent="0.25">
      <c r="C81" s="56" t="s">
        <v>1571</v>
      </c>
      <c r="D81" s="57">
        <v>31557.11</v>
      </c>
      <c r="E81" s="57">
        <v>4918</v>
      </c>
      <c r="F81" s="57">
        <v>23</v>
      </c>
    </row>
    <row r="82" spans="3:6" x14ac:dyDescent="0.25">
      <c r="C82" s="56" t="s">
        <v>1565</v>
      </c>
      <c r="D82" s="57">
        <v>20494.816666666666</v>
      </c>
      <c r="E82" s="57">
        <v>549</v>
      </c>
      <c r="F82" s="57">
        <v>20</v>
      </c>
    </row>
    <row r="83" spans="3:6" x14ac:dyDescent="0.25">
      <c r="C83" s="56" t="s">
        <v>1548</v>
      </c>
      <c r="D83" s="57">
        <v>17235.3</v>
      </c>
      <c r="E83" s="57">
        <v>1</v>
      </c>
      <c r="F83" s="57">
        <v>1</v>
      </c>
    </row>
    <row r="84" spans="3:6" x14ac:dyDescent="0.25">
      <c r="C84" s="56" t="s">
        <v>1549</v>
      </c>
      <c r="D84" s="57">
        <v>13420.74</v>
      </c>
      <c r="E84" s="57">
        <v>125.59016393442623</v>
      </c>
      <c r="F84" s="57">
        <v>12</v>
      </c>
    </row>
    <row r="85" spans="3:6" x14ac:dyDescent="0.25">
      <c r="C85" s="56" t="s">
        <v>1561</v>
      </c>
      <c r="D85" s="57">
        <v>13368.95</v>
      </c>
      <c r="E85" s="57">
        <v>51</v>
      </c>
      <c r="F85" s="57">
        <v>15</v>
      </c>
    </row>
    <row r="86" spans="3:6" x14ac:dyDescent="0.25">
      <c r="C86" s="56" t="s">
        <v>1572</v>
      </c>
      <c r="D86" s="57">
        <v>12661.1</v>
      </c>
      <c r="E86" s="57">
        <v>390</v>
      </c>
      <c r="F86" s="57">
        <v>2</v>
      </c>
    </row>
    <row r="87" spans="3:6" x14ac:dyDescent="0.25">
      <c r="C87" s="65" t="s">
        <v>1579</v>
      </c>
      <c r="D87" s="66">
        <v>11886.799999989569</v>
      </c>
      <c r="E87" s="66">
        <v>153</v>
      </c>
      <c r="F87" s="66">
        <v>4</v>
      </c>
    </row>
    <row r="88" spans="3:6" x14ac:dyDescent="0.25">
      <c r="C88" s="56" t="s">
        <v>1576</v>
      </c>
      <c r="D88" s="57">
        <v>11468.08</v>
      </c>
      <c r="E88" s="57">
        <v>266</v>
      </c>
      <c r="F88" s="57">
        <v>5</v>
      </c>
    </row>
    <row r="89" spans="3:6" x14ac:dyDescent="0.25">
      <c r="C89" s="56" t="s">
        <v>1563</v>
      </c>
      <c r="D89" s="57">
        <v>9404</v>
      </c>
      <c r="E89" s="57">
        <v>63</v>
      </c>
      <c r="F89" s="57">
        <v>14</v>
      </c>
    </row>
    <row r="90" spans="3:6" x14ac:dyDescent="0.25">
      <c r="C90" s="56" t="s">
        <v>1550</v>
      </c>
      <c r="D90" s="57">
        <v>8182.56</v>
      </c>
      <c r="E90" s="57">
        <v>77</v>
      </c>
      <c r="F90" s="57">
        <v>8</v>
      </c>
    </row>
    <row r="91" spans="3:6" x14ac:dyDescent="0.25">
      <c r="C91" s="56" t="s">
        <v>1551</v>
      </c>
      <c r="D91" s="57">
        <v>7860</v>
      </c>
      <c r="E91" s="57">
        <v>23</v>
      </c>
      <c r="F91" s="57">
        <v>4</v>
      </c>
    </row>
    <row r="92" spans="3:6" x14ac:dyDescent="0.25">
      <c r="C92" s="56" t="s">
        <v>1567</v>
      </c>
      <c r="D92" s="57">
        <v>5564.65</v>
      </c>
      <c r="E92" s="57">
        <v>211</v>
      </c>
      <c r="F92" s="57">
        <v>10</v>
      </c>
    </row>
    <row r="93" spans="3:6" x14ac:dyDescent="0.25">
      <c r="C93" s="56" t="s">
        <v>1573</v>
      </c>
      <c r="D93" s="57">
        <v>2163.25</v>
      </c>
      <c r="E93" s="57">
        <v>25</v>
      </c>
      <c r="F93" s="57">
        <v>4</v>
      </c>
    </row>
    <row r="94" spans="3:6" x14ac:dyDescent="0.25">
      <c r="C94" s="61" t="s">
        <v>1578</v>
      </c>
      <c r="D94" s="57">
        <v>1860.0900000000001</v>
      </c>
      <c r="E94" s="57">
        <v>223</v>
      </c>
      <c r="F94" s="57">
        <v>7</v>
      </c>
    </row>
    <row r="95" spans="3:6" x14ac:dyDescent="0.25">
      <c r="C95" s="56" t="s">
        <v>1575</v>
      </c>
      <c r="D95" s="57">
        <v>1566.72</v>
      </c>
      <c r="E95" s="57">
        <v>87</v>
      </c>
      <c r="F95" s="57">
        <v>7</v>
      </c>
    </row>
    <row r="96" spans="3:6" ht="33" x14ac:dyDescent="0.25">
      <c r="C96" s="59" t="s">
        <v>1552</v>
      </c>
      <c r="D96" s="57">
        <v>1435.6599999999999</v>
      </c>
      <c r="E96" s="57">
        <v>41</v>
      </c>
      <c r="F96" s="57">
        <v>3</v>
      </c>
    </row>
    <row r="97" spans="3:6" x14ac:dyDescent="0.25">
      <c r="C97" s="56" t="s">
        <v>1569</v>
      </c>
      <c r="D97" s="57">
        <v>1341.5</v>
      </c>
      <c r="E97" s="57">
        <v>15</v>
      </c>
      <c r="F97" s="57">
        <v>3</v>
      </c>
    </row>
    <row r="98" spans="3:6" x14ac:dyDescent="0.25">
      <c r="C98" s="56" t="s">
        <v>1564</v>
      </c>
      <c r="D98" s="57">
        <v>1272.5</v>
      </c>
      <c r="E98" s="57">
        <v>50</v>
      </c>
      <c r="F98" s="57">
        <v>2</v>
      </c>
    </row>
    <row r="99" spans="3:6" x14ac:dyDescent="0.25">
      <c r="C99" s="56" t="s">
        <v>1566</v>
      </c>
      <c r="D99" s="57">
        <v>410</v>
      </c>
      <c r="E99" s="57">
        <v>1</v>
      </c>
      <c r="F99" s="57">
        <v>1</v>
      </c>
    </row>
    <row r="100" spans="3:6" x14ac:dyDescent="0.25">
      <c r="C100" s="67" t="s">
        <v>1574</v>
      </c>
      <c r="D100" s="66">
        <v>303</v>
      </c>
      <c r="E100" s="66">
        <v>12</v>
      </c>
      <c r="F100" s="66">
        <v>2</v>
      </c>
    </row>
    <row r="101" spans="3:6" ht="17.25" thickBot="1" x14ac:dyDescent="0.3">
      <c r="C101" s="68" t="s">
        <v>1562</v>
      </c>
      <c r="D101" s="69">
        <v>69.5</v>
      </c>
      <c r="E101" s="69">
        <v>2</v>
      </c>
      <c r="F101" s="69">
        <v>2</v>
      </c>
    </row>
    <row r="102" spans="3:6" ht="17.25" thickBot="1" x14ac:dyDescent="0.3">
      <c r="C102" s="63" t="s">
        <v>1581</v>
      </c>
      <c r="D102" s="64">
        <f>SUM(D53:D101)</f>
        <v>48132100.367999993</v>
      </c>
      <c r="E102" s="64">
        <f>SUM(E53:E101)</f>
        <v>72787.990163934417</v>
      </c>
      <c r="F102" s="64">
        <f>SUM(F53:F101)</f>
        <v>1457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data</vt:lpstr>
      <vt:lpstr>pivot</vt:lpstr>
      <vt:lpstr>pivot-vysvetlivky</vt:lpstr>
      <vt:lpstr>celkovo</vt:lpstr>
      <vt:lpstr>HWDescList</vt:lpstr>
      <vt:lpstr>HWGroupsList</vt:lpstr>
      <vt:lpstr>StatList</vt:lpstr>
      <vt:lpstr>UnitPrice</vt:lpstr>
    </vt:vector>
  </TitlesOfParts>
  <Company>3vSys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 Tihanyi</dc:creator>
  <cp:lastModifiedBy>Jerga, Michal</cp:lastModifiedBy>
  <dcterms:created xsi:type="dcterms:W3CDTF">2022-12-21T05:44:15Z</dcterms:created>
  <dcterms:modified xsi:type="dcterms:W3CDTF">2023-02-02T12:31:24Z</dcterms:modified>
</cp:coreProperties>
</file>